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!노조 시작\6.월말보고\"/>
    </mc:Choice>
  </mc:AlternateContent>
  <bookViews>
    <workbookView xWindow="0" yWindow="0" windowWidth="28800" windowHeight="12390"/>
  </bookViews>
  <sheets>
    <sheet name="20240531" sheetId="5" r:id="rId1"/>
    <sheet name="20240430" sheetId="4" r:id="rId2"/>
    <sheet name="20240331" sheetId="3" r:id="rId3"/>
    <sheet name="20240229" sheetId="2" r:id="rId4"/>
    <sheet name="20240131" sheetId="1" r:id="rId5"/>
  </sheets>
  <externalReferences>
    <externalReference r:id="rId6"/>
    <externalReference r:id="rId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5" l="1"/>
  <c r="G68" i="5" l="1"/>
  <c r="G9" i="5"/>
  <c r="E65" i="5" l="1"/>
  <c r="F64" i="5"/>
  <c r="F63" i="5"/>
  <c r="F65" i="5" s="1"/>
  <c r="E62" i="5"/>
  <c r="F61" i="5"/>
  <c r="F60" i="5"/>
  <c r="H60" i="5" s="1"/>
  <c r="F59" i="5"/>
  <c r="H59" i="5" s="1"/>
  <c r="F58" i="5"/>
  <c r="F57" i="5"/>
  <c r="H57" i="5" s="1"/>
  <c r="F56" i="5"/>
  <c r="H56" i="5" s="1"/>
  <c r="E55" i="5"/>
  <c r="F54" i="5"/>
  <c r="H54" i="5" s="1"/>
  <c r="E53" i="5"/>
  <c r="F52" i="5"/>
  <c r="F51" i="5"/>
  <c r="H51" i="5" s="1"/>
  <c r="F50" i="5"/>
  <c r="F53" i="5" s="1"/>
  <c r="E49" i="5"/>
  <c r="F48" i="5"/>
  <c r="E47" i="5"/>
  <c r="F46" i="5"/>
  <c r="F45" i="5"/>
  <c r="F44" i="5"/>
  <c r="F43" i="5"/>
  <c r="F42" i="5"/>
  <c r="E41" i="5"/>
  <c r="F40" i="5"/>
  <c r="F41" i="5" s="1"/>
  <c r="E39" i="5"/>
  <c r="F38" i="5"/>
  <c r="F39" i="5" s="1"/>
  <c r="E37" i="5"/>
  <c r="F36" i="5"/>
  <c r="F35" i="5"/>
  <c r="F34" i="5"/>
  <c r="E33" i="5"/>
  <c r="F32" i="5"/>
  <c r="F31" i="5"/>
  <c r="E30" i="5"/>
  <c r="F29" i="5"/>
  <c r="F30" i="5" s="1"/>
  <c r="E28" i="5"/>
  <c r="F27" i="5"/>
  <c r="F26" i="5"/>
  <c r="F25" i="5"/>
  <c r="F24" i="5"/>
  <c r="F23" i="5"/>
  <c r="E22" i="5"/>
  <c r="F21" i="5"/>
  <c r="F20" i="5"/>
  <c r="F19" i="5"/>
  <c r="F18" i="5"/>
  <c r="E17" i="5"/>
  <c r="F16" i="5"/>
  <c r="F15" i="5"/>
  <c r="F14" i="5"/>
  <c r="E9" i="5"/>
  <c r="F8" i="5"/>
  <c r="F7" i="5"/>
  <c r="F6" i="5"/>
  <c r="F5" i="5"/>
  <c r="F62" i="5" l="1"/>
  <c r="F9" i="5"/>
  <c r="F37" i="5"/>
  <c r="H37" i="5" s="1"/>
  <c r="E68" i="5"/>
  <c r="F28" i="5"/>
  <c r="F17" i="5"/>
  <c r="H17" i="5" s="1"/>
  <c r="H61" i="5"/>
  <c r="F49" i="5"/>
  <c r="H49" i="5" s="1"/>
  <c r="F22" i="5"/>
  <c r="H41" i="5"/>
  <c r="H53" i="5"/>
  <c r="H62" i="5"/>
  <c r="H65" i="5"/>
  <c r="H39" i="5"/>
  <c r="H28" i="5"/>
  <c r="H30" i="5"/>
  <c r="H55" i="5"/>
  <c r="H50" i="5"/>
  <c r="H22" i="5"/>
  <c r="H58" i="5"/>
  <c r="F55" i="5"/>
  <c r="F33" i="5"/>
  <c r="F2" i="5"/>
  <c r="H63" i="5"/>
  <c r="H45" i="5"/>
  <c r="F54" i="4"/>
  <c r="F51" i="4"/>
  <c r="F68" i="5" l="1"/>
  <c r="H33" i="5"/>
  <c r="F57" i="4"/>
  <c r="F36" i="4"/>
  <c r="F38" i="4"/>
  <c r="F61" i="4"/>
  <c r="E39" i="4" l="1"/>
  <c r="F50" i="4"/>
  <c r="F39" i="4"/>
  <c r="E49" i="4"/>
  <c r="E47" i="4"/>
  <c r="F19" i="4"/>
  <c r="G19" i="4" s="1"/>
  <c r="F5" i="4"/>
  <c r="F64" i="4"/>
  <c r="F63" i="4"/>
  <c r="F25" i="4"/>
  <c r="F15" i="4"/>
  <c r="F14" i="4"/>
  <c r="G14" i="4" s="1"/>
  <c r="F7" i="4"/>
  <c r="G7" i="4" s="1"/>
  <c r="H61" i="4"/>
  <c r="H57" i="4"/>
  <c r="F56" i="4"/>
  <c r="G51" i="4"/>
  <c r="F60" i="4"/>
  <c r="F58" i="4"/>
  <c r="F52" i="4"/>
  <c r="G52" i="4" s="1"/>
  <c r="H50" i="4"/>
  <c r="F48" i="4"/>
  <c r="F43" i="4"/>
  <c r="F44" i="4"/>
  <c r="G44" i="4" s="1"/>
  <c r="F45" i="4"/>
  <c r="H45" i="4" s="1"/>
  <c r="F46" i="4"/>
  <c r="G46" i="4" s="1"/>
  <c r="F42" i="4"/>
  <c r="F40" i="4"/>
  <c r="F35" i="4"/>
  <c r="F34" i="4"/>
  <c r="F32" i="4"/>
  <c r="F31" i="4"/>
  <c r="F29" i="4"/>
  <c r="F24" i="4"/>
  <c r="G24" i="4" s="1"/>
  <c r="G25" i="4"/>
  <c r="F26" i="4"/>
  <c r="G26" i="4" s="1"/>
  <c r="F27" i="4"/>
  <c r="G27" i="4" s="1"/>
  <c r="F23" i="4"/>
  <c r="F20" i="4"/>
  <c r="G20" i="4" s="1"/>
  <c r="F21" i="4"/>
  <c r="F18" i="4"/>
  <c r="G15" i="4"/>
  <c r="F16" i="4"/>
  <c r="G16" i="4" s="1"/>
  <c r="F6" i="4"/>
  <c r="G5" i="4"/>
  <c r="G66" i="4"/>
  <c r="E65" i="4"/>
  <c r="G64" i="4"/>
  <c r="F65" i="4"/>
  <c r="E62" i="4"/>
  <c r="H60" i="4"/>
  <c r="F59" i="4"/>
  <c r="H59" i="4" s="1"/>
  <c r="H58" i="4"/>
  <c r="H56" i="4"/>
  <c r="E55" i="4"/>
  <c r="G54" i="4"/>
  <c r="E53" i="4"/>
  <c r="G48" i="4"/>
  <c r="E41" i="4"/>
  <c r="F41" i="4"/>
  <c r="E37" i="4"/>
  <c r="F37" i="4"/>
  <c r="G35" i="4"/>
  <c r="G34" i="4"/>
  <c r="E33" i="4"/>
  <c r="G32" i="4"/>
  <c r="F33" i="4"/>
  <c r="E30" i="4"/>
  <c r="F30" i="4"/>
  <c r="E28" i="4"/>
  <c r="G23" i="4"/>
  <c r="E22" i="4"/>
  <c r="G21" i="4"/>
  <c r="G18" i="4"/>
  <c r="E17" i="4"/>
  <c r="E9" i="4"/>
  <c r="A73" i="4" s="1"/>
  <c r="F8" i="4"/>
  <c r="G8" i="4" s="1"/>
  <c r="E68" i="4" l="1"/>
  <c r="G57" i="4"/>
  <c r="G61" i="4"/>
  <c r="F22" i="4"/>
  <c r="H22" i="4" s="1"/>
  <c r="F49" i="4"/>
  <c r="G43" i="4"/>
  <c r="F17" i="4"/>
  <c r="G17" i="4" s="1"/>
  <c r="G39" i="4"/>
  <c r="H39" i="4"/>
  <c r="H49" i="4"/>
  <c r="G49" i="4"/>
  <c r="H41" i="4"/>
  <c r="G41" i="4"/>
  <c r="G65" i="4"/>
  <c r="H65" i="4"/>
  <c r="H33" i="4"/>
  <c r="G33" i="4"/>
  <c r="G30" i="4"/>
  <c r="H30" i="4"/>
  <c r="H37" i="4"/>
  <c r="G37" i="4"/>
  <c r="H54" i="4"/>
  <c r="F62" i="4"/>
  <c r="G62" i="4" s="1"/>
  <c r="G58" i="4"/>
  <c r="G40" i="4"/>
  <c r="F55" i="4"/>
  <c r="G55" i="4" s="1"/>
  <c r="F9" i="4"/>
  <c r="H51" i="4"/>
  <c r="G59" i="4"/>
  <c r="G50" i="4"/>
  <c r="G31" i="4"/>
  <c r="F28" i="4"/>
  <c r="G63" i="4"/>
  <c r="H63" i="4"/>
  <c r="F2" i="4"/>
  <c r="G29" i="4"/>
  <c r="G38" i="4"/>
  <c r="G42" i="4"/>
  <c r="G56" i="4"/>
  <c r="G60" i="4"/>
  <c r="G36" i="4"/>
  <c r="F53" i="4"/>
  <c r="G53" i="4" s="1"/>
  <c r="G45" i="4"/>
  <c r="G22" i="4"/>
  <c r="F60" i="3"/>
  <c r="F57" i="3"/>
  <c r="F49" i="3"/>
  <c r="F53" i="3"/>
  <c r="H17" i="4" l="1"/>
  <c r="H53" i="4"/>
  <c r="H62" i="4"/>
  <c r="F68" i="4"/>
  <c r="H28" i="4"/>
  <c r="G28" i="4"/>
  <c r="H55" i="4"/>
  <c r="B73" i="4"/>
  <c r="G9" i="4"/>
  <c r="C73" i="4" s="1"/>
  <c r="F63" i="3"/>
  <c r="F62" i="3"/>
  <c r="H57" i="3"/>
  <c r="F36" i="3"/>
  <c r="G36" i="3" s="1"/>
  <c r="F50" i="3"/>
  <c r="G60" i="3"/>
  <c r="F59" i="3"/>
  <c r="G59" i="3" s="1"/>
  <c r="F55" i="3"/>
  <c r="F56" i="3"/>
  <c r="F15" i="3"/>
  <c r="F14" i="3"/>
  <c r="F25" i="3"/>
  <c r="G25" i="3" s="1"/>
  <c r="F46" i="3"/>
  <c r="G14" i="3"/>
  <c r="F5" i="3"/>
  <c r="F7" i="3"/>
  <c r="G63" i="3"/>
  <c r="G56" i="3"/>
  <c r="F58" i="3"/>
  <c r="F52" i="3"/>
  <c r="G52" i="3" s="1"/>
  <c r="F51" i="3"/>
  <c r="G51" i="3" s="1"/>
  <c r="F43" i="3"/>
  <c r="G43" i="3" s="1"/>
  <c r="F44" i="3"/>
  <c r="G44" i="3" s="1"/>
  <c r="F45" i="3"/>
  <c r="H45" i="3" s="1"/>
  <c r="F47" i="3"/>
  <c r="G47" i="3" s="1"/>
  <c r="F42" i="3"/>
  <c r="F40" i="3"/>
  <c r="F38" i="3"/>
  <c r="F35" i="3"/>
  <c r="G35" i="3" s="1"/>
  <c r="F34" i="3"/>
  <c r="F32" i="3"/>
  <c r="F31" i="3"/>
  <c r="F29" i="3"/>
  <c r="F24" i="3"/>
  <c r="F26" i="3"/>
  <c r="G26" i="3" s="1"/>
  <c r="F27" i="3"/>
  <c r="F23" i="3"/>
  <c r="F19" i="3"/>
  <c r="F20" i="3"/>
  <c r="F21" i="3"/>
  <c r="F18" i="3"/>
  <c r="F16" i="3"/>
  <c r="F6" i="3"/>
  <c r="G5" i="3"/>
  <c r="A72" i="3"/>
  <c r="G65" i="3"/>
  <c r="E64" i="3"/>
  <c r="E61" i="3"/>
  <c r="H59" i="3"/>
  <c r="G58" i="3"/>
  <c r="H55" i="3"/>
  <c r="E54" i="3"/>
  <c r="F54" i="3"/>
  <c r="E52" i="3"/>
  <c r="H50" i="3"/>
  <c r="G50" i="3"/>
  <c r="E48" i="3"/>
  <c r="G46" i="3"/>
  <c r="F41" i="3"/>
  <c r="H41" i="3" s="1"/>
  <c r="E41" i="3"/>
  <c r="G40" i="3"/>
  <c r="E39" i="3"/>
  <c r="F39" i="3"/>
  <c r="E37" i="3"/>
  <c r="G34" i="3"/>
  <c r="F33" i="3"/>
  <c r="H33" i="3" s="1"/>
  <c r="E33" i="3"/>
  <c r="G32" i="3"/>
  <c r="G31" i="3"/>
  <c r="E30" i="3"/>
  <c r="F30" i="3"/>
  <c r="E28" i="3"/>
  <c r="G27" i="3"/>
  <c r="G23" i="3"/>
  <c r="E22" i="3"/>
  <c r="G21" i="3"/>
  <c r="G20" i="3"/>
  <c r="G19" i="3"/>
  <c r="G18" i="3"/>
  <c r="E17" i="3"/>
  <c r="G16" i="3"/>
  <c r="G15" i="3"/>
  <c r="E9" i="3"/>
  <c r="E67" i="3" l="1"/>
  <c r="D73" i="4"/>
  <c r="F73" i="4" s="1"/>
  <c r="G68" i="4"/>
  <c r="E73" i="4" s="1"/>
  <c r="F28" i="3"/>
  <c r="H28" i="3" s="1"/>
  <c r="F64" i="3"/>
  <c r="H64" i="3" s="1"/>
  <c r="F48" i="3"/>
  <c r="G48" i="3" s="1"/>
  <c r="F37" i="3"/>
  <c r="G37" i="3" s="1"/>
  <c r="G24" i="3"/>
  <c r="G30" i="3"/>
  <c r="H30" i="3"/>
  <c r="G39" i="3"/>
  <c r="H39" i="3"/>
  <c r="H52" i="3"/>
  <c r="G54" i="3"/>
  <c r="H54" i="3"/>
  <c r="H56" i="3"/>
  <c r="H60" i="3"/>
  <c r="G49" i="3"/>
  <c r="G53" i="3"/>
  <c r="F17" i="3"/>
  <c r="F22" i="3"/>
  <c r="G45" i="3"/>
  <c r="H49" i="3"/>
  <c r="H53" i="3"/>
  <c r="G57" i="3"/>
  <c r="F61" i="3"/>
  <c r="G61" i="3" s="1"/>
  <c r="G7" i="3"/>
  <c r="G41" i="3"/>
  <c r="H58" i="3"/>
  <c r="G33" i="3"/>
  <c r="H62" i="3"/>
  <c r="H37" i="3"/>
  <c r="G29" i="3"/>
  <c r="G38" i="3"/>
  <c r="G42" i="3"/>
  <c r="G55" i="3"/>
  <c r="G28" i="3"/>
  <c r="G62" i="3"/>
  <c r="F18" i="2"/>
  <c r="F36" i="2"/>
  <c r="F49" i="2"/>
  <c r="F38" i="2"/>
  <c r="G18" i="2"/>
  <c r="F50" i="2"/>
  <c r="G38" i="2"/>
  <c r="F25" i="2"/>
  <c r="G25" i="2" s="1"/>
  <c r="F56" i="2"/>
  <c r="H56" i="2" s="1"/>
  <c r="F59" i="2"/>
  <c r="F57" i="2"/>
  <c r="H57" i="2" s="1"/>
  <c r="F60" i="2"/>
  <c r="F23" i="2"/>
  <c r="G23" i="2" s="1"/>
  <c r="F7" i="2"/>
  <c r="F5" i="2"/>
  <c r="F63" i="2"/>
  <c r="G63" i="2" s="1"/>
  <c r="F62" i="2"/>
  <c r="H62" i="2" s="1"/>
  <c r="H60" i="2"/>
  <c r="F58" i="2"/>
  <c r="H59" i="2"/>
  <c r="F55" i="2"/>
  <c r="F53" i="2"/>
  <c r="H53" i="2" s="1"/>
  <c r="F51" i="2"/>
  <c r="G51" i="2" s="1"/>
  <c r="H49" i="2"/>
  <c r="F43" i="2"/>
  <c r="G43" i="2" s="1"/>
  <c r="F44" i="2"/>
  <c r="F45" i="2"/>
  <c r="F46" i="2"/>
  <c r="F47" i="2"/>
  <c r="F42" i="2"/>
  <c r="F40" i="2"/>
  <c r="F35" i="2"/>
  <c r="G35" i="2" s="1"/>
  <c r="G36" i="2"/>
  <c r="F34" i="2"/>
  <c r="G34" i="2" s="1"/>
  <c r="F32" i="2"/>
  <c r="F31" i="2"/>
  <c r="F29" i="2"/>
  <c r="F24" i="2"/>
  <c r="G24" i="2" s="1"/>
  <c r="F26" i="2"/>
  <c r="G26" i="2" s="1"/>
  <c r="F27" i="2"/>
  <c r="G27" i="2" s="1"/>
  <c r="F19" i="2"/>
  <c r="F20" i="2"/>
  <c r="G20" i="2" s="1"/>
  <c r="F21" i="2"/>
  <c r="F15" i="2"/>
  <c r="F16" i="2"/>
  <c r="F14" i="2"/>
  <c r="G14" i="2" s="1"/>
  <c r="F6" i="2"/>
  <c r="G7" i="2"/>
  <c r="G65" i="2"/>
  <c r="E64" i="2"/>
  <c r="E61" i="2"/>
  <c r="H58" i="2"/>
  <c r="G58" i="2"/>
  <c r="G56" i="2"/>
  <c r="E54" i="2"/>
  <c r="E52" i="2"/>
  <c r="E48" i="2"/>
  <c r="G47" i="2"/>
  <c r="G46" i="2"/>
  <c r="H45" i="2"/>
  <c r="G45" i="2"/>
  <c r="G44" i="2"/>
  <c r="G42" i="2"/>
  <c r="F41" i="2"/>
  <c r="H41" i="2" s="1"/>
  <c r="E41" i="2"/>
  <c r="G40" i="2"/>
  <c r="F39" i="2"/>
  <c r="H39" i="2" s="1"/>
  <c r="E39" i="2"/>
  <c r="E37" i="2"/>
  <c r="F33" i="2"/>
  <c r="H33" i="2" s="1"/>
  <c r="E33" i="2"/>
  <c r="G32" i="2"/>
  <c r="G31" i="2"/>
  <c r="F30" i="2"/>
  <c r="H30" i="2" s="1"/>
  <c r="E30" i="2"/>
  <c r="G29" i="2"/>
  <c r="E28" i="2"/>
  <c r="E22" i="2"/>
  <c r="F17" i="2"/>
  <c r="H17" i="2" s="1"/>
  <c r="E17" i="2"/>
  <c r="E67" i="2" s="1"/>
  <c r="G16" i="2"/>
  <c r="G15" i="2"/>
  <c r="E9" i="2"/>
  <c r="A72" i="2" s="1"/>
  <c r="H61" i="3" l="1"/>
  <c r="G64" i="3"/>
  <c r="H48" i="3"/>
  <c r="H22" i="3"/>
  <c r="G22" i="3"/>
  <c r="F67" i="3"/>
  <c r="G17" i="3"/>
  <c r="H17" i="3"/>
  <c r="F22" i="2"/>
  <c r="F52" i="2"/>
  <c r="G52" i="2" s="1"/>
  <c r="G62" i="2"/>
  <c r="F64" i="2"/>
  <c r="H64" i="2" s="1"/>
  <c r="G60" i="2"/>
  <c r="F61" i="2"/>
  <c r="G61" i="2" s="1"/>
  <c r="G59" i="2"/>
  <c r="F54" i="2"/>
  <c r="H54" i="2" s="1"/>
  <c r="F48" i="2"/>
  <c r="H48" i="2" s="1"/>
  <c r="F37" i="2"/>
  <c r="H37" i="2" s="1"/>
  <c r="F28" i="2"/>
  <c r="H28" i="2" s="1"/>
  <c r="G19" i="2"/>
  <c r="G5" i="2"/>
  <c r="H22" i="2"/>
  <c r="G22" i="2"/>
  <c r="G64" i="2"/>
  <c r="G55" i="2"/>
  <c r="G50" i="2"/>
  <c r="G54" i="2"/>
  <c r="G21" i="2"/>
  <c r="G33" i="2"/>
  <c r="H50" i="2"/>
  <c r="G39" i="2"/>
  <c r="H55" i="2"/>
  <c r="G17" i="2"/>
  <c r="G48" i="2"/>
  <c r="G30" i="2"/>
  <c r="G41" i="2"/>
  <c r="G53" i="2"/>
  <c r="G57" i="2"/>
  <c r="G49" i="2"/>
  <c r="F50" i="1"/>
  <c r="F49" i="1"/>
  <c r="D72" i="3" l="1"/>
  <c r="G67" i="3"/>
  <c r="E72" i="3" s="1"/>
  <c r="G37" i="2"/>
  <c r="H52" i="2"/>
  <c r="F67" i="2"/>
  <c r="D72" i="2" s="1"/>
  <c r="H61" i="2"/>
  <c r="G28" i="2"/>
  <c r="G5" i="1"/>
  <c r="G7" i="1"/>
  <c r="F8" i="1"/>
  <c r="F8" i="3" s="1"/>
  <c r="E9" i="1"/>
  <c r="G14" i="1"/>
  <c r="G15" i="1"/>
  <c r="G16" i="1"/>
  <c r="E17" i="1"/>
  <c r="F17" i="1"/>
  <c r="G17" i="1" s="1"/>
  <c r="F18" i="1"/>
  <c r="G18" i="1" s="1"/>
  <c r="G19" i="1"/>
  <c r="G20" i="1"/>
  <c r="F21" i="1"/>
  <c r="G21" i="1"/>
  <c r="E22" i="1"/>
  <c r="F22" i="1"/>
  <c r="H22" i="1" s="1"/>
  <c r="G22" i="1"/>
  <c r="G23" i="1"/>
  <c r="G24" i="1"/>
  <c r="G25" i="1"/>
  <c r="F26" i="1"/>
  <c r="G26" i="1"/>
  <c r="G27" i="1"/>
  <c r="E28" i="1"/>
  <c r="F28" i="1"/>
  <c r="G28" i="1" s="1"/>
  <c r="H28" i="1"/>
  <c r="G29" i="1"/>
  <c r="E30" i="1"/>
  <c r="F30" i="1"/>
  <c r="G30" i="1" s="1"/>
  <c r="H30" i="1"/>
  <c r="G31" i="1"/>
  <c r="G32" i="1"/>
  <c r="E33" i="1"/>
  <c r="F33" i="1"/>
  <c r="G33" i="1"/>
  <c r="H33" i="1"/>
  <c r="G34" i="1"/>
  <c r="G35" i="1"/>
  <c r="G36" i="1"/>
  <c r="E37" i="1"/>
  <c r="F37" i="1"/>
  <c r="G37" i="1"/>
  <c r="H37" i="1"/>
  <c r="F38" i="1"/>
  <c r="G38" i="1" s="1"/>
  <c r="E39" i="1"/>
  <c r="F39" i="1"/>
  <c r="G39" i="1"/>
  <c r="H39" i="1"/>
  <c r="G40" i="1"/>
  <c r="E41" i="1"/>
  <c r="F41" i="1"/>
  <c r="G41" i="1"/>
  <c r="H41" i="1"/>
  <c r="G42" i="1"/>
  <c r="G43" i="1"/>
  <c r="G44" i="1"/>
  <c r="G45" i="1"/>
  <c r="H45" i="1"/>
  <c r="G46" i="1"/>
  <c r="G47" i="1"/>
  <c r="E48" i="1"/>
  <c r="F48" i="1"/>
  <c r="G48" i="1" s="1"/>
  <c r="H48" i="1"/>
  <c r="G49" i="1"/>
  <c r="G50" i="1"/>
  <c r="H50" i="1"/>
  <c r="G51" i="1"/>
  <c r="E52" i="1"/>
  <c r="F52" i="1"/>
  <c r="G52" i="1" s="1"/>
  <c r="F53" i="1"/>
  <c r="F54" i="1" s="1"/>
  <c r="G53" i="1"/>
  <c r="H53" i="1"/>
  <c r="E54" i="1"/>
  <c r="F55" i="1"/>
  <c r="F61" i="1" s="1"/>
  <c r="G61" i="1" s="1"/>
  <c r="G55" i="1"/>
  <c r="H55" i="1"/>
  <c r="G56" i="1"/>
  <c r="H56" i="1"/>
  <c r="F57" i="1"/>
  <c r="G57" i="1"/>
  <c r="H57" i="1"/>
  <c r="G58" i="1"/>
  <c r="H58" i="1"/>
  <c r="G59" i="1"/>
  <c r="H59" i="1"/>
  <c r="G60" i="1"/>
  <c r="H60" i="1"/>
  <c r="E61" i="1"/>
  <c r="H61" i="1" s="1"/>
  <c r="G62" i="1"/>
  <c r="H62" i="1"/>
  <c r="G63" i="1"/>
  <c r="E64" i="1"/>
  <c r="G64" i="1" s="1"/>
  <c r="F64" i="1"/>
  <c r="H64" i="1"/>
  <c r="G65" i="1"/>
  <c r="E67" i="1"/>
  <c r="A72" i="1"/>
  <c r="F2" i="3" l="1"/>
  <c r="G8" i="3"/>
  <c r="F9" i="3"/>
  <c r="F2" i="1"/>
  <c r="F8" i="2"/>
  <c r="G67" i="2"/>
  <c r="E72" i="2" s="1"/>
  <c r="H52" i="1"/>
  <c r="G54" i="1"/>
  <c r="H54" i="1"/>
  <c r="F9" i="1"/>
  <c r="H49" i="1"/>
  <c r="G8" i="1"/>
  <c r="H17" i="1"/>
  <c r="F67" i="1"/>
  <c r="G9" i="3" l="1"/>
  <c r="C72" i="3" s="1"/>
  <c r="B72" i="3"/>
  <c r="F72" i="3" s="1"/>
  <c r="F2" i="2"/>
  <c r="G8" i="2"/>
  <c r="F9" i="2"/>
  <c r="G67" i="1"/>
  <c r="E72" i="1" s="1"/>
  <c r="D72" i="1"/>
  <c r="B72" i="1"/>
  <c r="G9" i="1"/>
  <c r="C72" i="1" s="1"/>
  <c r="G9" i="2" l="1"/>
  <c r="C72" i="2" s="1"/>
  <c r="B72" i="2"/>
  <c r="F72" i="2" s="1"/>
  <c r="F72" i="1"/>
</calcChain>
</file>

<file path=xl/sharedStrings.xml><?xml version="1.0" encoding="utf-8"?>
<sst xmlns="http://schemas.openxmlformats.org/spreadsheetml/2006/main" count="625" uniqueCount="122">
  <si>
    <t>잔액</t>
    <phoneticPr fontId="3" type="noConversion"/>
  </si>
  <si>
    <t>지출율</t>
    <phoneticPr fontId="3" type="noConversion"/>
  </si>
  <si>
    <t>지출액</t>
    <phoneticPr fontId="3" type="noConversion"/>
  </si>
  <si>
    <t>수입율</t>
    <phoneticPr fontId="3" type="noConversion"/>
  </si>
  <si>
    <t>수입액</t>
    <phoneticPr fontId="3" type="noConversion"/>
  </si>
  <si>
    <t>잔액 현황</t>
    <phoneticPr fontId="3" type="noConversion"/>
  </si>
  <si>
    <t>지출</t>
    <phoneticPr fontId="3" type="noConversion"/>
  </si>
  <si>
    <t>수입</t>
    <phoneticPr fontId="3" type="noConversion"/>
  </si>
  <si>
    <t>예산</t>
    <phoneticPr fontId="3" type="noConversion"/>
  </si>
  <si>
    <t>합계</t>
    <phoneticPr fontId="3" type="noConversion"/>
  </si>
  <si>
    <t>◦ 이월적립금</t>
    <phoneticPr fontId="3" type="noConversion"/>
  </si>
  <si>
    <t>이월적립금</t>
    <phoneticPr fontId="3" type="noConversion"/>
  </si>
  <si>
    <t>적립금</t>
    <phoneticPr fontId="3" type="noConversion"/>
  </si>
  <si>
    <t>적립금</t>
    <phoneticPr fontId="3" type="noConversion"/>
  </si>
  <si>
    <t>◦ 예비비</t>
    <phoneticPr fontId="3" type="noConversion"/>
  </si>
  <si>
    <t>예비비</t>
    <phoneticPr fontId="3" type="noConversion"/>
  </si>
  <si>
    <t>예비비</t>
    <phoneticPr fontId="3" type="noConversion"/>
  </si>
  <si>
    <t>소계</t>
    <phoneticPr fontId="3" type="noConversion"/>
  </si>
  <si>
    <t>◦ 총회기금 적립</t>
    <phoneticPr fontId="3" type="noConversion"/>
  </si>
  <si>
    <t>총회기금</t>
    <phoneticPr fontId="3" type="noConversion"/>
  </si>
  <si>
    <t>◦ 특별기금 적립</t>
    <phoneticPr fontId="3" type="noConversion"/>
  </si>
  <si>
    <t>특별기금</t>
    <phoneticPr fontId="3" type="noConversion"/>
  </si>
  <si>
    <t>특별회계</t>
    <phoneticPr fontId="3" type="noConversion"/>
  </si>
  <si>
    <t>◦ 화환, 조화 등 구입비</t>
    <phoneticPr fontId="3" type="noConversion"/>
  </si>
  <si>
    <t>◦ 대외-축하 및 경조금</t>
    <phoneticPr fontId="3" type="noConversion"/>
  </si>
  <si>
    <t>◦ 노조원 퇴직(정년) 등</t>
    <phoneticPr fontId="3" type="noConversion"/>
  </si>
  <si>
    <t>◦ 노조원 출산등 축하용품</t>
    <phoneticPr fontId="3" type="noConversion"/>
  </si>
  <si>
    <t>◦ 대내-조의금</t>
    <phoneticPr fontId="3" type="noConversion"/>
  </si>
  <si>
    <t>◦ 대내-축하금</t>
    <phoneticPr fontId="3" type="noConversion"/>
  </si>
  <si>
    <t>경조비</t>
  </si>
  <si>
    <t>소계</t>
    <phoneticPr fontId="3" type="noConversion"/>
  </si>
  <si>
    <t>◦ 대내.외 접대비</t>
    <phoneticPr fontId="3" type="noConversion"/>
  </si>
  <si>
    <t>접대비</t>
  </si>
  <si>
    <t>◦ 대의원(대표위원) 활동비</t>
    <phoneticPr fontId="3" type="noConversion"/>
  </si>
  <si>
    <t>◦ 부위원장(수석) 활동비</t>
    <phoneticPr fontId="3" type="noConversion"/>
  </si>
  <si>
    <t>◦ 위원장 활동비</t>
    <phoneticPr fontId="3" type="noConversion"/>
  </si>
  <si>
    <t>활동비</t>
  </si>
  <si>
    <t>업무추진비</t>
    <phoneticPr fontId="3" type="noConversion"/>
  </si>
  <si>
    <t>연대사업비</t>
    <phoneticPr fontId="3" type="noConversion"/>
  </si>
  <si>
    <t>◦ 기타 행사비</t>
  </si>
  <si>
    <t>◦ 명절선물비</t>
    <phoneticPr fontId="3" type="noConversion"/>
  </si>
  <si>
    <t>◦ 직원자녀 장학금</t>
    <phoneticPr fontId="3" type="noConversion"/>
  </si>
  <si>
    <t>◦ 노동조합출범식 등</t>
    <phoneticPr fontId="3" type="noConversion"/>
  </si>
  <si>
    <t>◦ 창립 기념 행사</t>
    <phoneticPr fontId="3" type="noConversion"/>
  </si>
  <si>
    <t>행사비</t>
  </si>
  <si>
    <t>◦ 교육비</t>
    <phoneticPr fontId="3" type="noConversion"/>
  </si>
  <si>
    <t>교육비</t>
  </si>
  <si>
    <t>◦ 지회별 노조원 단합비용</t>
    <phoneticPr fontId="3" type="noConversion"/>
  </si>
  <si>
    <t>조직비</t>
    <phoneticPr fontId="3" type="noConversion"/>
  </si>
  <si>
    <t>사업비</t>
    <phoneticPr fontId="3" type="noConversion"/>
  </si>
  <si>
    <t>사업비</t>
    <phoneticPr fontId="3" type="noConversion"/>
  </si>
  <si>
    <t>소계</t>
    <phoneticPr fontId="3" type="noConversion"/>
  </si>
  <si>
    <t>◦ 기타 비용</t>
  </si>
  <si>
    <t>◦ 현수막, 노조기 등 제작</t>
    <phoneticPr fontId="3" type="noConversion"/>
  </si>
  <si>
    <t>◦ 내객접대용 차류 구입</t>
  </si>
  <si>
    <t>잡  비</t>
  </si>
  <si>
    <t>◦ 기타 유인물 제작</t>
    <phoneticPr fontId="3" type="noConversion"/>
  </si>
  <si>
    <t>◦ 월간잡지 구독료 등</t>
    <phoneticPr fontId="3" type="noConversion"/>
  </si>
  <si>
    <t>도서인쇄비</t>
  </si>
  <si>
    <t>◦ 사무용품, 투쟁용품 등 구입비</t>
    <phoneticPr fontId="3" type="noConversion"/>
  </si>
  <si>
    <t>소모품비</t>
  </si>
  <si>
    <t>◦ 시내교통비</t>
    <phoneticPr fontId="3" type="noConversion"/>
  </si>
  <si>
    <t>◦ 전해노련 및 기타회의 출장비</t>
    <phoneticPr fontId="3" type="noConversion"/>
  </si>
  <si>
    <t>◦ 지회 방문비 및 경조출장비</t>
    <phoneticPr fontId="3" type="noConversion"/>
  </si>
  <si>
    <t>◦ 감사위원 출장비</t>
    <phoneticPr fontId="3" type="noConversion"/>
  </si>
  <si>
    <t xml:space="preserve">◦ 대의원 출장비 </t>
    <phoneticPr fontId="3" type="noConversion"/>
  </si>
  <si>
    <t>여비교통비</t>
  </si>
  <si>
    <t>◦ 노사협의회 회의비용</t>
  </si>
  <si>
    <t xml:space="preserve">◦ 전해노련, 연맹관련 회의비 </t>
    <phoneticPr fontId="3" type="noConversion"/>
  </si>
  <si>
    <t>◦ 상무집행위원 회의비</t>
    <phoneticPr fontId="3" type="noConversion"/>
  </si>
  <si>
    <t>◦ 대의원대회 회의비</t>
    <phoneticPr fontId="3" type="noConversion"/>
  </si>
  <si>
    <t>회의비</t>
    <phoneticPr fontId="3" type="noConversion"/>
  </si>
  <si>
    <t>운영유지비</t>
    <phoneticPr fontId="3" type="noConversion"/>
  </si>
  <si>
    <t>운영비</t>
    <phoneticPr fontId="3" type="noConversion"/>
  </si>
  <si>
    <t>◦ 전해노련 의무금</t>
    <phoneticPr fontId="3" type="noConversion"/>
  </si>
  <si>
    <t>전해노련 의무금</t>
    <phoneticPr fontId="3" type="noConversion"/>
  </si>
  <si>
    <t>◦ 연맹 서울지역본부 의무금</t>
    <phoneticPr fontId="3" type="noConversion"/>
  </si>
  <si>
    <t>서울지역본부 의무금</t>
    <phoneticPr fontId="3" type="noConversion"/>
  </si>
  <si>
    <t>◦ 연맹의무금</t>
    <phoneticPr fontId="3" type="noConversion"/>
  </si>
  <si>
    <t>공공연맹의무금</t>
    <phoneticPr fontId="3" type="noConversion"/>
  </si>
  <si>
    <t>연맹맹비</t>
    <phoneticPr fontId="3" type="noConversion"/>
  </si>
  <si>
    <t>의무금</t>
    <phoneticPr fontId="3" type="noConversion"/>
  </si>
  <si>
    <t>지출누계</t>
    <phoneticPr fontId="3" type="noConversion"/>
  </si>
  <si>
    <t>예산액</t>
    <phoneticPr fontId="3" type="noConversion"/>
  </si>
  <si>
    <t>부기</t>
    <phoneticPr fontId="3" type="noConversion"/>
  </si>
  <si>
    <t>목</t>
  </si>
  <si>
    <t>항</t>
  </si>
  <si>
    <t>관</t>
  </si>
  <si>
    <t>♦ 지출부문</t>
    <phoneticPr fontId="3" type="noConversion"/>
  </si>
  <si>
    <t>계</t>
  </si>
  <si>
    <t>◦ 은행이자 등</t>
    <phoneticPr fontId="3" type="noConversion"/>
  </si>
  <si>
    <t>◦ 전년도 이월금</t>
    <phoneticPr fontId="3" type="noConversion"/>
  </si>
  <si>
    <t>기타</t>
    <phoneticPr fontId="3" type="noConversion"/>
  </si>
  <si>
    <t>잡수입</t>
    <phoneticPr fontId="3" type="noConversion"/>
  </si>
  <si>
    <t>◦ 조합원 월 의무금</t>
    <phoneticPr fontId="3" type="noConversion"/>
  </si>
  <si>
    <t>노조비</t>
    <phoneticPr fontId="3" type="noConversion"/>
  </si>
  <si>
    <t>의무금</t>
    <phoneticPr fontId="3" type="noConversion"/>
  </si>
  <si>
    <t>수입</t>
    <phoneticPr fontId="3" type="noConversion"/>
  </si>
  <si>
    <t>수입누계</t>
    <phoneticPr fontId="3" type="noConversion"/>
  </si>
  <si>
    <t>부기</t>
    <phoneticPr fontId="3" type="noConversion"/>
  </si>
  <si>
    <t>♦ 수입부문</t>
    <phoneticPr fontId="3" type="noConversion"/>
  </si>
  <si>
    <t>2024년 1월말 예산집행현황</t>
    <phoneticPr fontId="3" type="noConversion"/>
  </si>
  <si>
    <t>2024년 2월말 예산집행현황</t>
    <phoneticPr fontId="3" type="noConversion"/>
  </si>
  <si>
    <t>♦ 2024년 1월말 예산현황</t>
    <phoneticPr fontId="3" type="noConversion"/>
  </si>
  <si>
    <t>♦ 2024년 2월말 예산현황</t>
    <phoneticPr fontId="3" type="noConversion"/>
  </si>
  <si>
    <t>2024년 3월말 예산집행현황</t>
    <phoneticPr fontId="3" type="noConversion"/>
  </si>
  <si>
    <t>♦ 2024년 3월말 예산현황</t>
    <phoneticPr fontId="3" type="noConversion"/>
  </si>
  <si>
    <t>♦ 2024년 4월말 예산현황</t>
    <phoneticPr fontId="3" type="noConversion"/>
  </si>
  <si>
    <t>2024년 4월말 예산집행현황</t>
    <phoneticPr fontId="3" type="noConversion"/>
  </si>
  <si>
    <t>◦ 연대 활동비</t>
    <phoneticPr fontId="3" type="noConversion"/>
  </si>
  <si>
    <t>소계</t>
    <phoneticPr fontId="3" type="noConversion"/>
  </si>
  <si>
    <t>◦ 연대 활동비</t>
    <phoneticPr fontId="3" type="noConversion"/>
  </si>
  <si>
    <t>2024년 5월말 예산집행현황</t>
    <phoneticPr fontId="3" type="noConversion"/>
  </si>
  <si>
    <t>4월말 예산액</t>
    <phoneticPr fontId="3" type="noConversion"/>
  </si>
  <si>
    <t>4월말 수입누계</t>
    <phoneticPr fontId="3" type="noConversion"/>
  </si>
  <si>
    <t>4월말 예산액</t>
    <phoneticPr fontId="3" type="noConversion"/>
  </si>
  <si>
    <t>5월 수입</t>
    <phoneticPr fontId="3" type="noConversion"/>
  </si>
  <si>
    <t>4월말 지출누계</t>
    <phoneticPr fontId="3" type="noConversion"/>
  </si>
  <si>
    <t>5월 지출</t>
    <phoneticPr fontId="3" type="noConversion"/>
  </si>
  <si>
    <t>♦ 2024년 5월 예산현황</t>
    <phoneticPr fontId="3" type="noConversion"/>
  </si>
  <si>
    <t>-</t>
    <phoneticPr fontId="3" type="noConversion"/>
  </si>
  <si>
    <t>◦ 전년도 이월금 / 4월 이월금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</si>
</sst>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%"/>
    <numFmt numFmtId="177" formatCode="_-* #,##0.0_-;\-* #,##0.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2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41" fontId="2" fillId="0" borderId="1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41" fontId="2" fillId="0" borderId="1" xfId="1" applyFont="1" applyFill="1" applyBorder="1">
      <alignment vertical="center"/>
    </xf>
    <xf numFmtId="3" fontId="2" fillId="0" borderId="1" xfId="0" applyNumberFormat="1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2" fillId="0" borderId="1" xfId="1" applyNumberFormat="1" applyFont="1" applyFill="1" applyBorder="1">
      <alignment vertical="center"/>
    </xf>
    <xf numFmtId="41" fontId="2" fillId="0" borderId="1" xfId="1" applyFont="1" applyFill="1" applyBorder="1" applyAlignment="1">
      <alignment horizontal="left" vertical="center" wrapText="1"/>
    </xf>
    <xf numFmtId="41" fontId="2" fillId="0" borderId="0" xfId="0" applyNumberFormat="1" applyFont="1" applyFill="1">
      <alignment vertical="center"/>
    </xf>
    <xf numFmtId="41" fontId="2" fillId="0" borderId="1" xfId="1" applyFont="1" applyFill="1" applyBorder="1" applyAlignment="1">
      <alignment horizontal="justify" vertical="center" wrapText="1"/>
    </xf>
    <xf numFmtId="41" fontId="2" fillId="0" borderId="1" xfId="1" applyFont="1" applyFill="1" applyBorder="1" applyAlignment="1">
      <alignment vertical="center" shrinkToFit="1"/>
    </xf>
    <xf numFmtId="41" fontId="2" fillId="0" borderId="6" xfId="1" applyFont="1" applyFill="1" applyBorder="1" applyAlignment="1">
      <alignment horizontal="left" vertical="center" wrapText="1"/>
    </xf>
    <xf numFmtId="41" fontId="2" fillId="0" borderId="6" xfId="1" applyFont="1" applyFill="1" applyBorder="1" applyAlignment="1">
      <alignment horizontal="left" vertical="center"/>
    </xf>
    <xf numFmtId="41" fontId="2" fillId="0" borderId="7" xfId="1" applyFont="1" applyFill="1" applyBorder="1" applyAlignment="1">
      <alignment horizontal="left" vertical="center" wrapText="1"/>
    </xf>
    <xf numFmtId="41" fontId="2" fillId="0" borderId="7" xfId="1" applyFont="1" applyFill="1" applyBorder="1" applyAlignment="1">
      <alignment horizontal="left" vertical="center"/>
    </xf>
    <xf numFmtId="41" fontId="2" fillId="0" borderId="8" xfId="1" applyFont="1" applyFill="1" applyBorder="1" applyAlignment="1">
      <alignment horizontal="left" vertical="center" wrapText="1"/>
    </xf>
    <xf numFmtId="41" fontId="2" fillId="0" borderId="8" xfId="1" applyFont="1" applyFill="1" applyBorder="1" applyAlignment="1">
      <alignment horizontal="left" vertical="center"/>
    </xf>
    <xf numFmtId="41" fontId="2" fillId="0" borderId="1" xfId="1" applyFont="1" applyFill="1" applyBorder="1" applyAlignment="1">
      <alignment horizontal="justify" vertical="center"/>
    </xf>
    <xf numFmtId="41" fontId="2" fillId="0" borderId="6" xfId="1" applyFont="1" applyFill="1" applyBorder="1">
      <alignment vertical="center"/>
    </xf>
    <xf numFmtId="41" fontId="2" fillId="0" borderId="8" xfId="1" applyFont="1" applyFill="1" applyBorder="1">
      <alignment vertical="center"/>
    </xf>
    <xf numFmtId="41" fontId="2" fillId="3" borderId="1" xfId="1" applyFont="1" applyFill="1" applyBorder="1">
      <alignment vertical="center"/>
    </xf>
    <xf numFmtId="41" fontId="2" fillId="0" borderId="1" xfId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3" fontId="6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3" fontId="6" fillId="0" borderId="1" xfId="0" applyNumberFormat="1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1" xfId="0" applyNumberFormat="1" applyFont="1" applyFill="1" applyBorder="1" applyAlignment="1">
      <alignment horizontal="center" vertical="center"/>
    </xf>
    <xf numFmtId="41" fontId="2" fillId="0" borderId="8" xfId="1" applyFont="1" applyFill="1" applyBorder="1" applyAlignment="1">
      <alignment horizontal="center" vertical="center" wrapText="1"/>
    </xf>
    <xf numFmtId="41" fontId="2" fillId="0" borderId="7" xfId="1" applyFont="1" applyFill="1" applyBorder="1" applyAlignment="1">
      <alignment horizontal="center" vertical="center" wrapText="1"/>
    </xf>
    <xf numFmtId="41" fontId="2" fillId="0" borderId="6" xfId="1" applyFont="1" applyFill="1" applyBorder="1" applyAlignment="1">
      <alignment horizontal="center" vertical="center" wrapText="1"/>
    </xf>
    <xf numFmtId="41" fontId="2" fillId="0" borderId="3" xfId="1" applyFont="1" applyFill="1" applyBorder="1" applyAlignment="1">
      <alignment horizontal="center" vertical="center" wrapText="1"/>
    </xf>
    <xf numFmtId="41" fontId="2" fillId="0" borderId="2" xfId="1" applyFont="1" applyFill="1" applyBorder="1" applyAlignment="1">
      <alignment horizontal="center" vertical="center" wrapText="1"/>
    </xf>
    <xf numFmtId="41" fontId="2" fillId="0" borderId="5" xfId="1" applyFont="1" applyFill="1" applyBorder="1" applyAlignment="1">
      <alignment horizontal="center" vertical="center" wrapText="1"/>
    </xf>
    <xf numFmtId="41" fontId="2" fillId="0" borderId="4" xfId="1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432;&#51312;\&#50900;&#48372;\2021\&#50696;&#49328;&#51665;&#54665;&#54788;&#54889;('21&#45380;12&#50900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432;&#51312;\&#50900;&#48372;\2023\&#50696;&#49328;&#51665;&#54665;%20&#54788;&#54889;(2023.12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1231"/>
      <sheetName val="20211130"/>
      <sheetName val="20211031"/>
      <sheetName val="20210930"/>
      <sheetName val="20210831"/>
      <sheetName val="20210731"/>
      <sheetName val="20210630"/>
      <sheetName val="20210531"/>
    </sheetNames>
    <sheetDataSet>
      <sheetData sheetId="0"/>
      <sheetData sheetId="1"/>
      <sheetData sheetId="2"/>
      <sheetData sheetId="3">
        <row r="16">
          <cell r="F16">
            <v>2600000</v>
          </cell>
        </row>
        <row r="22">
          <cell r="F22">
            <v>366000</v>
          </cell>
        </row>
        <row r="28">
          <cell r="F28">
            <v>2994867</v>
          </cell>
        </row>
        <row r="30">
          <cell r="F30">
            <v>0</v>
          </cell>
        </row>
        <row r="33">
          <cell r="F33">
            <v>0</v>
          </cell>
        </row>
        <row r="37">
          <cell r="F37">
            <v>148900</v>
          </cell>
        </row>
        <row r="39">
          <cell r="F39">
            <v>2422000</v>
          </cell>
        </row>
        <row r="45">
          <cell r="F45">
            <v>1176600</v>
          </cell>
        </row>
        <row r="47">
          <cell r="F47">
            <v>1176600</v>
          </cell>
        </row>
        <row r="63">
          <cell r="F63">
            <v>1500000</v>
          </cell>
        </row>
      </sheetData>
      <sheetData sheetId="4">
        <row r="41">
          <cell r="F41">
            <v>0</v>
          </cell>
        </row>
      </sheetData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31231"/>
      <sheetName val="20231130"/>
      <sheetName val="20231031"/>
      <sheetName val="20230930"/>
      <sheetName val="20230831"/>
      <sheetName val="20230731"/>
      <sheetName val="20230630"/>
      <sheetName val="20230531"/>
      <sheetName val="20230430"/>
      <sheetName val="20230331"/>
      <sheetName val="20230228"/>
      <sheetName val="20230131"/>
    </sheetNames>
    <sheetDataSet>
      <sheetData sheetId="0"/>
      <sheetData sheetId="1">
        <row r="8">
          <cell r="F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zoomScaleNormal="100" zoomScaleSheetLayoutView="100" workbookViewId="0">
      <selection sqref="A1:G1"/>
    </sheetView>
  </sheetViews>
  <sheetFormatPr defaultRowHeight="11.25" x14ac:dyDescent="0.15"/>
  <cols>
    <col min="1" max="1" width="8.6640625" style="1" bestFit="1" customWidth="1"/>
    <col min="2" max="2" width="10.44140625" style="1" customWidth="1"/>
    <col min="3" max="3" width="15.6640625" style="1" bestFit="1" customWidth="1"/>
    <col min="4" max="4" width="21.6640625" style="1" bestFit="1" customWidth="1"/>
    <col min="5" max="5" width="10.88671875" style="1" customWidth="1"/>
    <col min="6" max="6" width="12.5546875" style="1" bestFit="1" customWidth="1"/>
    <col min="7" max="7" width="12.5546875" style="1" customWidth="1"/>
    <col min="8" max="8" width="8.88671875" style="1" hidden="1" customWidth="1"/>
    <col min="9" max="16384" width="8.88671875" style="1"/>
  </cols>
  <sheetData>
    <row r="1" spans="1:7" ht="25.5" x14ac:dyDescent="0.15">
      <c r="A1" s="54" t="s">
        <v>112</v>
      </c>
      <c r="B1" s="54"/>
      <c r="C1" s="54"/>
      <c r="D1" s="54"/>
      <c r="E1" s="54"/>
      <c r="F1" s="54"/>
      <c r="G1" s="54"/>
    </row>
    <row r="2" spans="1:7" x14ac:dyDescent="0.15">
      <c r="F2" s="12">
        <f>F8-E8</f>
        <v>0</v>
      </c>
      <c r="G2" s="12"/>
    </row>
    <row r="3" spans="1:7" ht="12.75" customHeight="1" x14ac:dyDescent="0.15">
      <c r="A3" s="1" t="s">
        <v>100</v>
      </c>
    </row>
    <row r="4" spans="1:7" ht="12.75" customHeight="1" x14ac:dyDescent="0.15">
      <c r="A4" s="27" t="s">
        <v>87</v>
      </c>
      <c r="B4" s="27" t="s">
        <v>86</v>
      </c>
      <c r="C4" s="27" t="s">
        <v>85</v>
      </c>
      <c r="D4" s="27" t="s">
        <v>84</v>
      </c>
      <c r="E4" s="27" t="s">
        <v>113</v>
      </c>
      <c r="F4" s="26" t="s">
        <v>114</v>
      </c>
      <c r="G4" s="26" t="s">
        <v>116</v>
      </c>
    </row>
    <row r="5" spans="1:7" ht="12" customHeight="1" x14ac:dyDescent="0.15">
      <c r="A5" s="55" t="s">
        <v>7</v>
      </c>
      <c r="B5" s="36" t="s">
        <v>81</v>
      </c>
      <c r="C5" s="36" t="s">
        <v>95</v>
      </c>
      <c r="D5" s="35" t="s">
        <v>94</v>
      </c>
      <c r="E5" s="34">
        <v>21200000</v>
      </c>
      <c r="F5" s="3">
        <f>'20240331'!F5+2018450+1384140+2256610+700990</f>
        <v>22211400</v>
      </c>
      <c r="G5" s="3">
        <v>5707520</v>
      </c>
    </row>
    <row r="6" spans="1:7" ht="12" customHeight="1" x14ac:dyDescent="0.15">
      <c r="A6" s="55"/>
      <c r="B6" s="56" t="s">
        <v>93</v>
      </c>
      <c r="C6" s="56" t="s">
        <v>92</v>
      </c>
      <c r="D6" s="32" t="s">
        <v>121</v>
      </c>
      <c r="E6" s="34">
        <v>10672948</v>
      </c>
      <c r="F6" s="3">
        <f>'20240331'!F6</f>
        <v>10672948</v>
      </c>
      <c r="G6" s="3">
        <v>2441524</v>
      </c>
    </row>
    <row r="7" spans="1:7" ht="12.75" customHeight="1" x14ac:dyDescent="0.15">
      <c r="A7" s="55"/>
      <c r="B7" s="57"/>
      <c r="C7" s="57"/>
      <c r="D7" s="32" t="s">
        <v>90</v>
      </c>
      <c r="E7" s="31">
        <v>7052</v>
      </c>
      <c r="F7" s="3">
        <f>'20240331'!F7+1656</f>
        <v>24146</v>
      </c>
      <c r="G7" s="3">
        <v>1166</v>
      </c>
    </row>
    <row r="8" spans="1:7" ht="12.75" customHeight="1" x14ac:dyDescent="0.15">
      <c r="A8" s="55"/>
      <c r="B8" s="33" t="s">
        <v>15</v>
      </c>
      <c r="C8" s="33" t="s">
        <v>15</v>
      </c>
      <c r="D8" s="32" t="s">
        <v>14</v>
      </c>
      <c r="E8" s="31">
        <v>0</v>
      </c>
      <c r="F8" s="3">
        <f>'20240131'!F8</f>
        <v>0</v>
      </c>
      <c r="G8" s="3"/>
    </row>
    <row r="9" spans="1:7" ht="12.75" customHeight="1" x14ac:dyDescent="0.15">
      <c r="A9" s="58" t="s">
        <v>89</v>
      </c>
      <c r="B9" s="59"/>
      <c r="C9" s="60"/>
      <c r="D9" s="30"/>
      <c r="E9" s="29">
        <f>SUM(E5:E8)</f>
        <v>31880000</v>
      </c>
      <c r="F9" s="29">
        <f>SUM(F5:F8)</f>
        <v>32908494</v>
      </c>
      <c r="G9" s="29">
        <f>SUM(G5:G8)</f>
        <v>8150210</v>
      </c>
    </row>
    <row r="10" spans="1:7" ht="12.75" customHeight="1" x14ac:dyDescent="0.15">
      <c r="A10" s="28"/>
      <c r="B10" s="28"/>
      <c r="C10" s="28"/>
      <c r="D10" s="28"/>
    </row>
    <row r="11" spans="1:7" ht="12.75" customHeight="1" x14ac:dyDescent="0.15"/>
    <row r="12" spans="1:7" ht="12.75" customHeight="1" x14ac:dyDescent="0.15">
      <c r="A12" s="1" t="s">
        <v>88</v>
      </c>
    </row>
    <row r="13" spans="1:7" ht="12.75" customHeight="1" x14ac:dyDescent="0.15">
      <c r="A13" s="27" t="s">
        <v>87</v>
      </c>
      <c r="B13" s="27" t="s">
        <v>86</v>
      </c>
      <c r="C13" s="27" t="s">
        <v>85</v>
      </c>
      <c r="D13" s="27" t="s">
        <v>84</v>
      </c>
      <c r="E13" s="27" t="s">
        <v>115</v>
      </c>
      <c r="F13" s="26" t="s">
        <v>117</v>
      </c>
      <c r="G13" s="26" t="s">
        <v>118</v>
      </c>
    </row>
    <row r="14" spans="1:7" ht="12.75" customHeight="1" x14ac:dyDescent="0.15">
      <c r="A14" s="20" t="s">
        <v>81</v>
      </c>
      <c r="B14" s="20" t="s">
        <v>80</v>
      </c>
      <c r="C14" s="25" t="s">
        <v>79</v>
      </c>
      <c r="D14" s="5" t="s">
        <v>78</v>
      </c>
      <c r="E14" s="5">
        <v>1200000</v>
      </c>
      <c r="F14" s="3">
        <f>'20240331'!F14+300000</f>
        <v>1200000</v>
      </c>
      <c r="G14" s="3">
        <v>300000</v>
      </c>
    </row>
    <row r="15" spans="1:7" ht="12.75" customHeight="1" x14ac:dyDescent="0.15">
      <c r="A15" s="18"/>
      <c r="B15" s="18"/>
      <c r="C15" s="25" t="s">
        <v>77</v>
      </c>
      <c r="D15" s="24" t="s">
        <v>76</v>
      </c>
      <c r="E15" s="24">
        <v>400000</v>
      </c>
      <c r="F15" s="3">
        <f>'20240331'!F15+100000</f>
        <v>400000</v>
      </c>
      <c r="G15" s="3">
        <v>100000</v>
      </c>
    </row>
    <row r="16" spans="1:7" ht="12.75" customHeight="1" x14ac:dyDescent="0.15">
      <c r="A16" s="18"/>
      <c r="B16" s="18"/>
      <c r="C16" s="25" t="s">
        <v>75</v>
      </c>
      <c r="D16" s="5" t="s">
        <v>74</v>
      </c>
      <c r="E16" s="24">
        <v>2000000</v>
      </c>
      <c r="F16" s="3">
        <f>'20240331'!F16</f>
        <v>2000000</v>
      </c>
      <c r="G16" s="3"/>
    </row>
    <row r="17" spans="1:8" ht="12.75" customHeight="1" x14ac:dyDescent="0.15">
      <c r="A17" s="18"/>
      <c r="B17" s="18"/>
      <c r="C17" s="20"/>
      <c r="D17" s="5" t="s">
        <v>17</v>
      </c>
      <c r="E17" s="5">
        <f>SUM(E14:E16)</f>
        <v>3600000</v>
      </c>
      <c r="F17" s="5">
        <f>SUM(F14:F16)</f>
        <v>3600000</v>
      </c>
      <c r="G17" s="5"/>
      <c r="H17" s="12">
        <f>F17-'[1]20210930'!F16</f>
        <v>1000000</v>
      </c>
    </row>
    <row r="18" spans="1:8" ht="12.75" customHeight="1" x14ac:dyDescent="0.15">
      <c r="A18" s="19" t="s">
        <v>73</v>
      </c>
      <c r="B18" s="19" t="s">
        <v>72</v>
      </c>
      <c r="C18" s="19" t="s">
        <v>71</v>
      </c>
      <c r="D18" s="13" t="s">
        <v>70</v>
      </c>
      <c r="E18" s="5">
        <v>3200000</v>
      </c>
      <c r="F18" s="3">
        <f>'20240331'!F18</f>
        <v>3157900</v>
      </c>
      <c r="G18" s="3"/>
    </row>
    <row r="19" spans="1:8" ht="12.75" customHeight="1" x14ac:dyDescent="0.15">
      <c r="A19" s="17"/>
      <c r="B19" s="17"/>
      <c r="C19" s="17"/>
      <c r="D19" s="13" t="s">
        <v>69</v>
      </c>
      <c r="E19" s="5">
        <v>850000</v>
      </c>
      <c r="F19" s="3">
        <f>'20240331'!F19+218000+189000+46800+76500</f>
        <v>831300</v>
      </c>
      <c r="G19" s="3"/>
    </row>
    <row r="20" spans="1:8" ht="12.75" customHeight="1" x14ac:dyDescent="0.15">
      <c r="A20" s="17"/>
      <c r="B20" s="17"/>
      <c r="C20" s="17"/>
      <c r="D20" s="13" t="s">
        <v>68</v>
      </c>
      <c r="E20" s="5"/>
      <c r="F20" s="3">
        <f>'20240331'!F20</f>
        <v>0</v>
      </c>
      <c r="G20" s="3"/>
    </row>
    <row r="21" spans="1:8" ht="12.75" customHeight="1" x14ac:dyDescent="0.15">
      <c r="A21" s="17"/>
      <c r="B21" s="17"/>
      <c r="C21" s="17"/>
      <c r="D21" s="13" t="s">
        <v>67</v>
      </c>
      <c r="E21" s="23">
        <v>500000</v>
      </c>
      <c r="F21" s="3">
        <f>'20240331'!F21</f>
        <v>497500</v>
      </c>
      <c r="G21" s="3"/>
    </row>
    <row r="22" spans="1:8" ht="12.75" customHeight="1" x14ac:dyDescent="0.15">
      <c r="A22" s="17"/>
      <c r="B22" s="17"/>
      <c r="C22" s="17"/>
      <c r="D22" s="13" t="s">
        <v>17</v>
      </c>
      <c r="E22" s="5">
        <f>SUM(E18:E21)</f>
        <v>4550000</v>
      </c>
      <c r="F22" s="5">
        <f>SUM(F18:F21)</f>
        <v>4486700</v>
      </c>
      <c r="G22" s="5"/>
      <c r="H22" s="12">
        <f>F22-'[1]20210930'!F22</f>
        <v>4120700</v>
      </c>
    </row>
    <row r="23" spans="1:8" ht="12.75" customHeight="1" x14ac:dyDescent="0.15">
      <c r="A23" s="17"/>
      <c r="B23" s="17"/>
      <c r="C23" s="19" t="s">
        <v>66</v>
      </c>
      <c r="D23" s="13" t="s">
        <v>65</v>
      </c>
      <c r="E23" s="5">
        <v>1750000</v>
      </c>
      <c r="F23" s="3">
        <f>'20240331'!F23</f>
        <v>1730100</v>
      </c>
      <c r="G23" s="3"/>
    </row>
    <row r="24" spans="1:8" ht="12.75" customHeight="1" x14ac:dyDescent="0.15">
      <c r="A24" s="17"/>
      <c r="B24" s="17"/>
      <c r="C24" s="17"/>
      <c r="D24" s="13" t="s">
        <v>64</v>
      </c>
      <c r="E24" s="5"/>
      <c r="F24" s="3">
        <f>'20240331'!F24</f>
        <v>0</v>
      </c>
      <c r="G24" s="3"/>
    </row>
    <row r="25" spans="1:8" ht="12.75" customHeight="1" x14ac:dyDescent="0.15">
      <c r="A25" s="18"/>
      <c r="B25" s="17"/>
      <c r="C25" s="17"/>
      <c r="D25" s="13" t="s">
        <v>63</v>
      </c>
      <c r="E25" s="5">
        <v>2200000</v>
      </c>
      <c r="F25" s="3">
        <f>'20240331'!F25+569420</f>
        <v>2184020</v>
      </c>
      <c r="G25" s="3"/>
    </row>
    <row r="26" spans="1:8" ht="12.75" customHeight="1" x14ac:dyDescent="0.15">
      <c r="A26" s="17"/>
      <c r="B26" s="17"/>
      <c r="C26" s="17"/>
      <c r="D26" s="13" t="s">
        <v>62</v>
      </c>
      <c r="E26" s="5">
        <v>50000</v>
      </c>
      <c r="F26" s="3">
        <f>'20240331'!F26</f>
        <v>36800</v>
      </c>
      <c r="G26" s="3"/>
    </row>
    <row r="27" spans="1:8" ht="12.75" customHeight="1" x14ac:dyDescent="0.15">
      <c r="A27" s="17"/>
      <c r="B27" s="17"/>
      <c r="C27" s="17"/>
      <c r="D27" s="13" t="s">
        <v>61</v>
      </c>
      <c r="E27" s="5">
        <v>0</v>
      </c>
      <c r="F27" s="3">
        <f>'20240331'!F27</f>
        <v>0</v>
      </c>
      <c r="G27" s="3"/>
    </row>
    <row r="28" spans="1:8" ht="12.75" customHeight="1" x14ac:dyDescent="0.15">
      <c r="A28" s="17"/>
      <c r="B28" s="17"/>
      <c r="C28" s="15"/>
      <c r="D28" s="13" t="s">
        <v>17</v>
      </c>
      <c r="E28" s="5">
        <f>SUM(E23:E27)</f>
        <v>4000000</v>
      </c>
      <c r="F28" s="5">
        <f>SUM(F23:F27)</f>
        <v>3950920</v>
      </c>
      <c r="G28" s="5"/>
      <c r="H28" s="12">
        <f>F28-'[1]20210930'!F28</f>
        <v>956053</v>
      </c>
    </row>
    <row r="29" spans="1:8" ht="12.75" customHeight="1" x14ac:dyDescent="0.15">
      <c r="A29" s="17"/>
      <c r="B29" s="17"/>
      <c r="C29" s="19" t="s">
        <v>60</v>
      </c>
      <c r="D29" s="13" t="s">
        <v>59</v>
      </c>
      <c r="E29" s="22">
        <v>50000</v>
      </c>
      <c r="F29" s="3">
        <f>'20240331'!F29</f>
        <v>4800</v>
      </c>
      <c r="G29" s="3"/>
    </row>
    <row r="30" spans="1:8" ht="12.75" customHeight="1" x14ac:dyDescent="0.15">
      <c r="A30" s="17"/>
      <c r="B30" s="17"/>
      <c r="C30" s="15"/>
      <c r="D30" s="13" t="s">
        <v>17</v>
      </c>
      <c r="E30" s="5">
        <f>SUM(E29)</f>
        <v>50000</v>
      </c>
      <c r="F30" s="5">
        <f>SUM(F29)</f>
        <v>4800</v>
      </c>
      <c r="G30" s="5"/>
      <c r="H30" s="12">
        <f>F30-'[1]20210930'!F30</f>
        <v>4800</v>
      </c>
    </row>
    <row r="31" spans="1:8" ht="12.75" customHeight="1" x14ac:dyDescent="0.15">
      <c r="A31" s="17"/>
      <c r="B31" s="17"/>
      <c r="C31" s="19" t="s">
        <v>58</v>
      </c>
      <c r="D31" s="21" t="s">
        <v>57</v>
      </c>
      <c r="E31" s="5">
        <v>0</v>
      </c>
      <c r="F31" s="3">
        <f>'20240331'!F31</f>
        <v>0</v>
      </c>
      <c r="G31" s="3"/>
    </row>
    <row r="32" spans="1:8" ht="12.75" customHeight="1" x14ac:dyDescent="0.15">
      <c r="A32" s="17"/>
      <c r="B32" s="17"/>
      <c r="C32" s="17"/>
      <c r="D32" s="13" t="s">
        <v>56</v>
      </c>
      <c r="E32" s="5">
        <v>0</v>
      </c>
      <c r="F32" s="3">
        <f>'20240331'!F32</f>
        <v>0</v>
      </c>
      <c r="G32" s="3"/>
    </row>
    <row r="33" spans="1:8" ht="12.75" customHeight="1" x14ac:dyDescent="0.15">
      <c r="A33" s="17"/>
      <c r="B33" s="17"/>
      <c r="C33" s="15"/>
      <c r="D33" s="13" t="s">
        <v>17</v>
      </c>
      <c r="E33" s="5">
        <f>SUM(E31:E32)</f>
        <v>0</v>
      </c>
      <c r="F33" s="5">
        <f>SUM(F31:F32)</f>
        <v>0</v>
      </c>
      <c r="G33" s="5"/>
      <c r="H33" s="12">
        <f>F33-'[1]20210930'!F33</f>
        <v>0</v>
      </c>
    </row>
    <row r="34" spans="1:8" ht="12.75" customHeight="1" x14ac:dyDescent="0.15">
      <c r="A34" s="17"/>
      <c r="B34" s="17"/>
      <c r="C34" s="19" t="s">
        <v>55</v>
      </c>
      <c r="D34" s="13" t="s">
        <v>54</v>
      </c>
      <c r="E34" s="5">
        <v>0</v>
      </c>
      <c r="F34" s="3">
        <f>'20240331'!F34</f>
        <v>0</v>
      </c>
      <c r="G34" s="3"/>
    </row>
    <row r="35" spans="1:8" ht="12.75" customHeight="1" x14ac:dyDescent="0.15">
      <c r="A35" s="17"/>
      <c r="B35" s="17"/>
      <c r="C35" s="17"/>
      <c r="D35" s="13" t="s">
        <v>53</v>
      </c>
      <c r="E35" s="5">
        <v>100000</v>
      </c>
      <c r="F35" s="3">
        <f>'20240331'!F35</f>
        <v>50000</v>
      </c>
      <c r="G35" s="3"/>
    </row>
    <row r="36" spans="1:8" ht="12.75" customHeight="1" x14ac:dyDescent="0.15">
      <c r="A36" s="18"/>
      <c r="B36" s="17"/>
      <c r="C36" s="17"/>
      <c r="D36" s="13" t="s">
        <v>52</v>
      </c>
      <c r="E36" s="5">
        <v>1130000</v>
      </c>
      <c r="F36" s="3">
        <f>'20240331'!F36</f>
        <v>784300</v>
      </c>
      <c r="G36" s="3"/>
    </row>
    <row r="37" spans="1:8" ht="12.75" customHeight="1" x14ac:dyDescent="0.15">
      <c r="A37" s="16"/>
      <c r="B37" s="15"/>
      <c r="C37" s="15"/>
      <c r="D37" s="13" t="s">
        <v>17</v>
      </c>
      <c r="E37" s="5">
        <f>SUM(E34:E36)</f>
        <v>1230000</v>
      </c>
      <c r="F37" s="5">
        <f>SUM(F34:F36)</f>
        <v>834300</v>
      </c>
      <c r="G37" s="5"/>
      <c r="H37" s="12">
        <f>F37-'[1]20210930'!F37</f>
        <v>685400</v>
      </c>
    </row>
    <row r="38" spans="1:8" ht="12.75" customHeight="1" x14ac:dyDescent="0.15">
      <c r="A38" s="20" t="s">
        <v>49</v>
      </c>
      <c r="B38" s="19" t="s">
        <v>49</v>
      </c>
      <c r="C38" s="11" t="s">
        <v>48</v>
      </c>
      <c r="D38" s="13" t="s">
        <v>47</v>
      </c>
      <c r="E38" s="5">
        <v>5000000</v>
      </c>
      <c r="F38" s="3">
        <f>'20240331'!F38+84000+200000+200000+200000+450000+150000+50000</f>
        <v>4974810</v>
      </c>
      <c r="G38" s="3">
        <v>103500</v>
      </c>
    </row>
    <row r="39" spans="1:8" ht="12.75" customHeight="1" x14ac:dyDescent="0.15">
      <c r="A39" s="18"/>
      <c r="B39" s="17"/>
      <c r="C39" s="11"/>
      <c r="D39" s="13" t="s">
        <v>17</v>
      </c>
      <c r="E39" s="5">
        <f>E38</f>
        <v>5000000</v>
      </c>
      <c r="F39" s="5">
        <f>SUM(F38)</f>
        <v>4974810</v>
      </c>
      <c r="G39" s="5"/>
      <c r="H39" s="12">
        <f>F39-'[1]20210930'!F39</f>
        <v>2552810</v>
      </c>
    </row>
    <row r="40" spans="1:8" ht="12.75" customHeight="1" x14ac:dyDescent="0.15">
      <c r="A40" s="18"/>
      <c r="B40" s="17"/>
      <c r="C40" s="11" t="s">
        <v>46</v>
      </c>
      <c r="D40" s="13" t="s">
        <v>45</v>
      </c>
      <c r="E40" s="5">
        <v>0</v>
      </c>
      <c r="F40" s="3">
        <f>'20240331'!F40</f>
        <v>0</v>
      </c>
      <c r="G40" s="3">
        <v>80000</v>
      </c>
    </row>
    <row r="41" spans="1:8" ht="12.75" customHeight="1" x14ac:dyDescent="0.15">
      <c r="A41" s="18"/>
      <c r="B41" s="17"/>
      <c r="C41" s="19"/>
      <c r="D41" s="13" t="s">
        <v>17</v>
      </c>
      <c r="E41" s="5">
        <f>SUM(E40)</f>
        <v>0</v>
      </c>
      <c r="F41" s="5">
        <f>SUM(F40)</f>
        <v>0</v>
      </c>
      <c r="G41" s="5"/>
      <c r="H41" s="12">
        <f>F41-'[1]20210831'!F41</f>
        <v>0</v>
      </c>
    </row>
    <row r="42" spans="1:8" ht="12.75" customHeight="1" x14ac:dyDescent="0.15">
      <c r="A42" s="18"/>
      <c r="B42" s="17"/>
      <c r="C42" s="19" t="s">
        <v>44</v>
      </c>
      <c r="D42" s="13" t="s">
        <v>43</v>
      </c>
      <c r="E42" s="5">
        <v>0</v>
      </c>
      <c r="F42" s="3">
        <f>'20240331'!F42</f>
        <v>0</v>
      </c>
      <c r="G42" s="3"/>
    </row>
    <row r="43" spans="1:8" ht="12.75" customHeight="1" x14ac:dyDescent="0.15">
      <c r="A43" s="18"/>
      <c r="B43" s="17"/>
      <c r="C43" s="17"/>
      <c r="D43" s="13" t="s">
        <v>42</v>
      </c>
      <c r="E43" s="5">
        <v>0</v>
      </c>
      <c r="F43" s="3">
        <f>'20240331'!F43</f>
        <v>0</v>
      </c>
      <c r="G43" s="3"/>
    </row>
    <row r="44" spans="1:8" ht="12.75" customHeight="1" x14ac:dyDescent="0.15">
      <c r="A44" s="18"/>
      <c r="B44" s="17"/>
      <c r="C44" s="17"/>
      <c r="D44" s="13" t="s">
        <v>41</v>
      </c>
      <c r="E44" s="5">
        <v>0</v>
      </c>
      <c r="F44" s="3">
        <f>'20240331'!F44</f>
        <v>0</v>
      </c>
      <c r="G44" s="3"/>
    </row>
    <row r="45" spans="1:8" ht="12.75" customHeight="1" x14ac:dyDescent="0.15">
      <c r="A45" s="18"/>
      <c r="B45" s="17"/>
      <c r="C45" s="17"/>
      <c r="D45" s="13" t="s">
        <v>40</v>
      </c>
      <c r="E45" s="5">
        <v>2000000</v>
      </c>
      <c r="F45" s="3">
        <f>'20240331'!F45</f>
        <v>1866540</v>
      </c>
      <c r="G45" s="3"/>
      <c r="H45" s="12">
        <f>F45-'[1]20210930'!F45</f>
        <v>689940</v>
      </c>
    </row>
    <row r="46" spans="1:8" ht="12.75" customHeight="1" x14ac:dyDescent="0.15">
      <c r="A46" s="18"/>
      <c r="B46" s="17"/>
      <c r="C46" s="17"/>
      <c r="D46" s="13" t="s">
        <v>39</v>
      </c>
      <c r="E46" s="5">
        <v>2000000</v>
      </c>
      <c r="F46" s="3">
        <f>'20240331'!F46</f>
        <v>2000000</v>
      </c>
      <c r="G46" s="3"/>
    </row>
    <row r="47" spans="1:8" ht="12.75" customHeight="1" x14ac:dyDescent="0.15">
      <c r="A47" s="18"/>
      <c r="B47" s="17"/>
      <c r="C47" s="17"/>
      <c r="D47" s="13" t="s">
        <v>17</v>
      </c>
      <c r="E47" s="5">
        <f>SUM(E42:E46)</f>
        <v>4000000</v>
      </c>
      <c r="F47" s="3"/>
      <c r="G47" s="3"/>
    </row>
    <row r="48" spans="1:8" ht="12.75" customHeight="1" x14ac:dyDescent="0.15">
      <c r="A48" s="18"/>
      <c r="B48" s="17"/>
      <c r="C48" s="45" t="s">
        <v>38</v>
      </c>
      <c r="D48" s="13" t="s">
        <v>109</v>
      </c>
      <c r="E48" s="5">
        <v>0</v>
      </c>
      <c r="F48" s="3">
        <f>'20240331'!F47</f>
        <v>0</v>
      </c>
      <c r="G48" s="3"/>
    </row>
    <row r="49" spans="1:8" ht="12.75" customHeight="1" x14ac:dyDescent="0.15">
      <c r="A49" s="18"/>
      <c r="B49" s="17"/>
      <c r="C49" s="47"/>
      <c r="D49" s="13" t="s">
        <v>51</v>
      </c>
      <c r="E49" s="5">
        <f>SUM(E48)</f>
        <v>0</v>
      </c>
      <c r="F49" s="5">
        <f>SUM(F42:F48)</f>
        <v>3866540</v>
      </c>
      <c r="G49" s="5"/>
      <c r="H49" s="12">
        <f>F49-'[1]20210930'!F47</f>
        <v>2689940</v>
      </c>
    </row>
    <row r="50" spans="1:8" ht="12.75" customHeight="1" x14ac:dyDescent="0.15">
      <c r="A50" s="18"/>
      <c r="B50" s="19" t="s">
        <v>37</v>
      </c>
      <c r="C50" s="19" t="s">
        <v>36</v>
      </c>
      <c r="D50" s="13" t="s">
        <v>35</v>
      </c>
      <c r="E50" s="5">
        <v>1400000</v>
      </c>
      <c r="F50" s="3">
        <f>'20240331'!F49+21500+60000+250000</f>
        <v>1366100</v>
      </c>
      <c r="G50" s="3">
        <v>218900</v>
      </c>
      <c r="H50" s="12">
        <f>E50-F50</f>
        <v>33900</v>
      </c>
    </row>
    <row r="51" spans="1:8" ht="12.75" customHeight="1" x14ac:dyDescent="0.15">
      <c r="A51" s="18"/>
      <c r="B51" s="17"/>
      <c r="C51" s="17"/>
      <c r="D51" s="13" t="s">
        <v>34</v>
      </c>
      <c r="E51" s="5">
        <v>1200000</v>
      </c>
      <c r="F51" s="3">
        <f>'20240331'!F50+60000+23500+42000+40000+22000+19900+105000+120000+155000</f>
        <v>1163800</v>
      </c>
      <c r="G51" s="3">
        <v>114100</v>
      </c>
      <c r="H51" s="12">
        <f>E51-F51</f>
        <v>36200</v>
      </c>
    </row>
    <row r="52" spans="1:8" ht="12.75" customHeight="1" x14ac:dyDescent="0.15">
      <c r="A52" s="18"/>
      <c r="B52" s="17"/>
      <c r="C52" s="17"/>
      <c r="D52" s="13" t="s">
        <v>33</v>
      </c>
      <c r="E52" s="5">
        <v>0</v>
      </c>
      <c r="F52" s="3">
        <f>'20240331'!F51</f>
        <v>0</v>
      </c>
      <c r="G52" s="3"/>
    </row>
    <row r="53" spans="1:8" ht="12.75" customHeight="1" x14ac:dyDescent="0.15">
      <c r="A53" s="18"/>
      <c r="B53" s="17"/>
      <c r="C53" s="15"/>
      <c r="D53" s="13" t="s">
        <v>17</v>
      </c>
      <c r="E53" s="5">
        <f>SUM(E50:E52)</f>
        <v>2600000</v>
      </c>
      <c r="F53" s="5">
        <f>SUM(F50:F52)</f>
        <v>2529900</v>
      </c>
      <c r="G53" s="5"/>
      <c r="H53" s="12">
        <f t="shared" ref="H53:H63" si="0">E53-F53</f>
        <v>70100</v>
      </c>
    </row>
    <row r="54" spans="1:8" ht="12.75" customHeight="1" x14ac:dyDescent="0.15">
      <c r="A54" s="18"/>
      <c r="B54" s="17"/>
      <c r="C54" s="19" t="s">
        <v>32</v>
      </c>
      <c r="D54" s="13" t="s">
        <v>31</v>
      </c>
      <c r="E54" s="5">
        <v>650000</v>
      </c>
      <c r="F54" s="3">
        <f>'20240331'!F53+26000+64000+40000+100000+79000</f>
        <v>634000</v>
      </c>
      <c r="G54" s="3"/>
      <c r="H54" s="12">
        <f t="shared" si="0"/>
        <v>16000</v>
      </c>
    </row>
    <row r="55" spans="1:8" ht="12.75" customHeight="1" x14ac:dyDescent="0.15">
      <c r="A55" s="18"/>
      <c r="B55" s="17"/>
      <c r="C55" s="15"/>
      <c r="D55" s="13" t="s">
        <v>17</v>
      </c>
      <c r="E55" s="5">
        <f>SUM(E54)</f>
        <v>650000</v>
      </c>
      <c r="F55" s="5">
        <f>SUM(F54)</f>
        <v>634000</v>
      </c>
      <c r="G55" s="5"/>
      <c r="H55" s="12">
        <f t="shared" si="0"/>
        <v>16000</v>
      </c>
    </row>
    <row r="56" spans="1:8" ht="12.75" customHeight="1" x14ac:dyDescent="0.15">
      <c r="A56" s="18"/>
      <c r="B56" s="17"/>
      <c r="C56" s="19" t="s">
        <v>29</v>
      </c>
      <c r="D56" s="13" t="s">
        <v>28</v>
      </c>
      <c r="E56" s="5">
        <v>2000000</v>
      </c>
      <c r="F56" s="3">
        <f>'20240331'!F55+300000+300000</f>
        <v>1800000</v>
      </c>
      <c r="G56" s="3"/>
      <c r="H56" s="12">
        <f t="shared" si="0"/>
        <v>200000</v>
      </c>
    </row>
    <row r="57" spans="1:8" ht="12.75" customHeight="1" x14ac:dyDescent="0.15">
      <c r="A57" s="18"/>
      <c r="B57" s="17"/>
      <c r="C57" s="17"/>
      <c r="D57" s="13" t="s">
        <v>27</v>
      </c>
      <c r="E57" s="5">
        <v>1300000</v>
      </c>
      <c r="F57" s="3">
        <f>'20240331'!F56+100000+100000</f>
        <v>1200000</v>
      </c>
      <c r="G57" s="3">
        <v>200000</v>
      </c>
      <c r="H57" s="12">
        <f t="shared" si="0"/>
        <v>100000</v>
      </c>
    </row>
    <row r="58" spans="1:8" ht="12.75" customHeight="1" x14ac:dyDescent="0.15">
      <c r="A58" s="17"/>
      <c r="B58" s="17"/>
      <c r="C58" s="17"/>
      <c r="D58" s="13" t="s">
        <v>26</v>
      </c>
      <c r="E58" s="5">
        <v>500000</v>
      </c>
      <c r="F58" s="3">
        <f>'20240331'!F57</f>
        <v>493000</v>
      </c>
      <c r="G58" s="3"/>
      <c r="H58" s="12">
        <f t="shared" si="0"/>
        <v>7000</v>
      </c>
    </row>
    <row r="59" spans="1:8" ht="12.75" customHeight="1" x14ac:dyDescent="0.15">
      <c r="A59" s="17"/>
      <c r="B59" s="17"/>
      <c r="C59" s="17"/>
      <c r="D59" s="13" t="s">
        <v>25</v>
      </c>
      <c r="E59" s="5">
        <v>0</v>
      </c>
      <c r="F59" s="3">
        <f>'20240229'!F58</f>
        <v>0</v>
      </c>
      <c r="G59" s="3"/>
      <c r="H59" s="12">
        <f t="shared" si="0"/>
        <v>0</v>
      </c>
    </row>
    <row r="60" spans="1:8" ht="12.75" customHeight="1" x14ac:dyDescent="0.15">
      <c r="A60" s="18"/>
      <c r="B60" s="17"/>
      <c r="C60" s="17"/>
      <c r="D60" s="14" t="s">
        <v>24</v>
      </c>
      <c r="E60" s="5">
        <v>200000</v>
      </c>
      <c r="F60" s="3">
        <f>'20240331'!F59</f>
        <v>180000</v>
      </c>
      <c r="G60" s="3"/>
      <c r="H60" s="12">
        <f t="shared" si="0"/>
        <v>20000</v>
      </c>
    </row>
    <row r="61" spans="1:8" ht="12.75" customHeight="1" x14ac:dyDescent="0.15">
      <c r="A61" s="16"/>
      <c r="B61" s="15"/>
      <c r="C61" s="15"/>
      <c r="D61" s="14" t="s">
        <v>23</v>
      </c>
      <c r="E61" s="5">
        <v>1000000</v>
      </c>
      <c r="F61" s="3">
        <f>'20240331'!F60+54000+54000+64000</f>
        <v>712000</v>
      </c>
      <c r="G61" s="3">
        <v>162000</v>
      </c>
      <c r="H61" s="12">
        <f t="shared" si="0"/>
        <v>288000</v>
      </c>
    </row>
    <row r="62" spans="1:8" ht="12.75" customHeight="1" x14ac:dyDescent="0.15">
      <c r="A62" s="16"/>
      <c r="B62" s="15"/>
      <c r="C62" s="15"/>
      <c r="D62" s="14" t="s">
        <v>17</v>
      </c>
      <c r="E62" s="5">
        <f>SUM(E56:E61)</f>
        <v>5000000</v>
      </c>
      <c r="F62" s="5">
        <f>SUM(F56:F61)</f>
        <v>4385000</v>
      </c>
      <c r="G62" s="5"/>
      <c r="H62" s="12">
        <f t="shared" si="0"/>
        <v>615000</v>
      </c>
    </row>
    <row r="63" spans="1:8" ht="12.75" customHeight="1" x14ac:dyDescent="0.15">
      <c r="A63" s="45" t="s">
        <v>22</v>
      </c>
      <c r="B63" s="48" t="s">
        <v>21</v>
      </c>
      <c r="C63" s="49"/>
      <c r="D63" s="13" t="s">
        <v>20</v>
      </c>
      <c r="E63" s="5">
        <v>400000</v>
      </c>
      <c r="F63" s="3">
        <f>'20240331'!F62+100000</f>
        <v>400000</v>
      </c>
      <c r="G63" s="3">
        <v>100000</v>
      </c>
      <c r="H63" s="12">
        <f t="shared" si="0"/>
        <v>0</v>
      </c>
    </row>
    <row r="64" spans="1:8" ht="12.75" customHeight="1" x14ac:dyDescent="0.15">
      <c r="A64" s="46"/>
      <c r="B64" s="48" t="s">
        <v>19</v>
      </c>
      <c r="C64" s="49"/>
      <c r="D64" s="13" t="s">
        <v>18</v>
      </c>
      <c r="E64" s="5">
        <v>800000</v>
      </c>
      <c r="F64" s="3">
        <f>'20240331'!F63+200000</f>
        <v>800000</v>
      </c>
      <c r="G64" s="3">
        <v>200000</v>
      </c>
    </row>
    <row r="65" spans="1:8" ht="12.75" customHeight="1" x14ac:dyDescent="0.15">
      <c r="A65" s="47"/>
      <c r="B65" s="50"/>
      <c r="C65" s="51"/>
      <c r="D65" s="13" t="s">
        <v>17</v>
      </c>
      <c r="E65" s="5">
        <f>SUM(E63:E64)</f>
        <v>1200000</v>
      </c>
      <c r="F65" s="5">
        <f>SUM(F63:F64)</f>
        <v>1200000</v>
      </c>
      <c r="G65" s="5"/>
      <c r="H65" s="12">
        <f>F65-'[1]20210930'!F63</f>
        <v>-300000</v>
      </c>
    </row>
    <row r="66" spans="1:8" ht="12.75" customHeight="1" x14ac:dyDescent="0.15">
      <c r="A66" s="11" t="s">
        <v>15</v>
      </c>
      <c r="B66" s="11" t="s">
        <v>15</v>
      </c>
      <c r="C66" s="11" t="s">
        <v>15</v>
      </c>
      <c r="D66" s="5" t="s">
        <v>14</v>
      </c>
      <c r="E66" s="5"/>
      <c r="F66" s="5">
        <v>0</v>
      </c>
      <c r="G66" s="5"/>
    </row>
    <row r="67" spans="1:8" ht="12.75" customHeight="1" x14ac:dyDescent="0.15">
      <c r="A67" s="11" t="s">
        <v>12</v>
      </c>
      <c r="B67" s="11" t="s">
        <v>12</v>
      </c>
      <c r="C67" s="11" t="s">
        <v>11</v>
      </c>
      <c r="D67" s="5" t="s">
        <v>10</v>
      </c>
      <c r="E67" s="5">
        <v>0</v>
      </c>
      <c r="F67" s="5">
        <v>0</v>
      </c>
      <c r="G67" s="5"/>
    </row>
    <row r="68" spans="1:8" ht="12.75" customHeight="1" x14ac:dyDescent="0.15">
      <c r="A68" s="52" t="s">
        <v>9</v>
      </c>
      <c r="B68" s="52"/>
      <c r="C68" s="52"/>
      <c r="D68" s="5"/>
      <c r="E68" s="5">
        <f>E17+E22+E28++E30+E33+E37+E39+E41+E47+E49+E53+E55+E62+E65+E66</f>
        <v>31880000</v>
      </c>
      <c r="F68" s="5">
        <f>F17+F22+F28+F30+F33+F37+F39+F41+F49+F53+F55+F62+F65+F66</f>
        <v>30466970</v>
      </c>
      <c r="G68" s="5">
        <f>SUM(G14:G67)</f>
        <v>1578500</v>
      </c>
    </row>
    <row r="69" spans="1:8" ht="12.75" customHeight="1" x14ac:dyDescent="0.15"/>
    <row r="70" spans="1:8" ht="12.75" customHeight="1" x14ac:dyDescent="0.15">
      <c r="A70" s="1" t="s">
        <v>119</v>
      </c>
    </row>
    <row r="71" spans="1:8" ht="12.75" customHeight="1" x14ac:dyDescent="0.15">
      <c r="A71" s="53" t="s">
        <v>8</v>
      </c>
      <c r="B71" s="42" t="s">
        <v>7</v>
      </c>
      <c r="C71" s="43"/>
      <c r="D71" s="42" t="s">
        <v>6</v>
      </c>
      <c r="E71" s="43"/>
      <c r="F71" s="44" t="s">
        <v>5</v>
      </c>
      <c r="G71" s="44"/>
    </row>
    <row r="72" spans="1:8" ht="12.75" customHeight="1" x14ac:dyDescent="0.15">
      <c r="A72" s="53"/>
      <c r="B72" s="39" t="s">
        <v>4</v>
      </c>
      <c r="C72" s="39" t="s">
        <v>3</v>
      </c>
      <c r="D72" s="39" t="s">
        <v>2</v>
      </c>
      <c r="E72" s="39" t="s">
        <v>1</v>
      </c>
      <c r="F72" s="39" t="s">
        <v>0</v>
      </c>
      <c r="G72" s="39"/>
    </row>
    <row r="73" spans="1:8" ht="12.75" customHeight="1" x14ac:dyDescent="0.15">
      <c r="A73" s="40" t="s">
        <v>120</v>
      </c>
      <c r="B73" s="5">
        <v>8150210</v>
      </c>
      <c r="C73" s="41" t="s">
        <v>120</v>
      </c>
      <c r="D73" s="3">
        <v>1578500</v>
      </c>
      <c r="E73" s="41" t="s">
        <v>120</v>
      </c>
      <c r="F73" s="3">
        <f>B73-D73</f>
        <v>6571710</v>
      </c>
      <c r="G73" s="3"/>
    </row>
  </sheetData>
  <mergeCells count="15">
    <mergeCell ref="C48:C49"/>
    <mergeCell ref="A1:G1"/>
    <mergeCell ref="A5:A8"/>
    <mergeCell ref="B6:B7"/>
    <mergeCell ref="C6:C7"/>
    <mergeCell ref="A9:C9"/>
    <mergeCell ref="D71:E71"/>
    <mergeCell ref="F71:G71"/>
    <mergeCell ref="A63:A65"/>
    <mergeCell ref="B63:C63"/>
    <mergeCell ref="B64:C64"/>
    <mergeCell ref="B65:C65"/>
    <mergeCell ref="A68:C68"/>
    <mergeCell ref="A71:A72"/>
    <mergeCell ref="B71:C71"/>
  </mergeCells>
  <phoneticPr fontId="3" type="noConversion"/>
  <printOptions horizontalCentered="1"/>
  <pageMargins left="0.39370078740157483" right="0.35433070866141736" top="0.6692913385826772" bottom="0.19685039370078741" header="0.19685039370078741" footer="0.15748031496062992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zoomScaleNormal="100" zoomScaleSheetLayoutView="100" workbookViewId="0">
      <selection activeCell="F24" sqref="F24"/>
    </sheetView>
  </sheetViews>
  <sheetFormatPr defaultRowHeight="11.25" x14ac:dyDescent="0.15"/>
  <cols>
    <col min="1" max="1" width="8.6640625" style="1" bestFit="1" customWidth="1"/>
    <col min="2" max="2" width="10.44140625" style="1" customWidth="1"/>
    <col min="3" max="3" width="15.6640625" style="1" bestFit="1" customWidth="1"/>
    <col min="4" max="4" width="21.6640625" style="1" bestFit="1" customWidth="1"/>
    <col min="5" max="5" width="10.88671875" style="1" customWidth="1"/>
    <col min="6" max="6" width="12.5546875" style="1" bestFit="1" customWidth="1"/>
    <col min="7" max="7" width="8.77734375" style="1" customWidth="1"/>
    <col min="8" max="8" width="8.88671875" style="1" hidden="1" customWidth="1"/>
    <col min="9" max="16384" width="8.88671875" style="1"/>
  </cols>
  <sheetData>
    <row r="1" spans="1:7" ht="25.5" x14ac:dyDescent="0.15">
      <c r="A1" s="54" t="s">
        <v>108</v>
      </c>
      <c r="B1" s="54"/>
      <c r="C1" s="54"/>
      <c r="D1" s="54"/>
      <c r="E1" s="54"/>
      <c r="F1" s="54"/>
      <c r="G1" s="54"/>
    </row>
    <row r="2" spans="1:7" x14ac:dyDescent="0.15">
      <c r="F2" s="12">
        <f>F8-E8</f>
        <v>0</v>
      </c>
    </row>
    <row r="3" spans="1:7" ht="12.75" customHeight="1" x14ac:dyDescent="0.15">
      <c r="A3" s="1" t="s">
        <v>100</v>
      </c>
    </row>
    <row r="4" spans="1:7" ht="12.75" customHeight="1" x14ac:dyDescent="0.15">
      <c r="A4" s="27" t="s">
        <v>87</v>
      </c>
      <c r="B4" s="27" t="s">
        <v>86</v>
      </c>
      <c r="C4" s="27" t="s">
        <v>85</v>
      </c>
      <c r="D4" s="27" t="s">
        <v>84</v>
      </c>
      <c r="E4" s="27" t="s">
        <v>83</v>
      </c>
      <c r="F4" s="26" t="s">
        <v>98</v>
      </c>
      <c r="G4" s="26" t="s">
        <v>3</v>
      </c>
    </row>
    <row r="5" spans="1:7" ht="12" customHeight="1" x14ac:dyDescent="0.15">
      <c r="A5" s="55" t="s">
        <v>7</v>
      </c>
      <c r="B5" s="36" t="s">
        <v>81</v>
      </c>
      <c r="C5" s="36" t="s">
        <v>95</v>
      </c>
      <c r="D5" s="35" t="s">
        <v>94</v>
      </c>
      <c r="E5" s="34">
        <v>21200000</v>
      </c>
      <c r="F5" s="3">
        <f>'20240331'!F5+2018450+1384140+2256610+700990</f>
        <v>22211400</v>
      </c>
      <c r="G5" s="4">
        <f>F5/E5</f>
        <v>1.0477075471698114</v>
      </c>
    </row>
    <row r="6" spans="1:7" ht="12" customHeight="1" x14ac:dyDescent="0.15">
      <c r="A6" s="55"/>
      <c r="B6" s="56" t="s">
        <v>93</v>
      </c>
      <c r="C6" s="56" t="s">
        <v>92</v>
      </c>
      <c r="D6" s="32" t="s">
        <v>91</v>
      </c>
      <c r="E6" s="34">
        <v>10672948</v>
      </c>
      <c r="F6" s="3">
        <f>'20240331'!F6</f>
        <v>10672948</v>
      </c>
      <c r="G6" s="4"/>
    </row>
    <row r="7" spans="1:7" ht="12.75" customHeight="1" x14ac:dyDescent="0.15">
      <c r="A7" s="55"/>
      <c r="B7" s="57"/>
      <c r="C7" s="57"/>
      <c r="D7" s="32" t="s">
        <v>90</v>
      </c>
      <c r="E7" s="31">
        <v>7052</v>
      </c>
      <c r="F7" s="3">
        <f>'20240331'!F7+1656</f>
        <v>24146</v>
      </c>
      <c r="G7" s="4">
        <f>F7/E7</f>
        <v>3.4239931934203063</v>
      </c>
    </row>
    <row r="8" spans="1:7" ht="12.75" customHeight="1" x14ac:dyDescent="0.15">
      <c r="A8" s="55"/>
      <c r="B8" s="33" t="s">
        <v>15</v>
      </c>
      <c r="C8" s="33" t="s">
        <v>15</v>
      </c>
      <c r="D8" s="32" t="s">
        <v>14</v>
      </c>
      <c r="E8" s="31">
        <v>0</v>
      </c>
      <c r="F8" s="3">
        <f>'20240131'!F8</f>
        <v>0</v>
      </c>
      <c r="G8" s="4" t="e">
        <f>F8/E8</f>
        <v>#DIV/0!</v>
      </c>
    </row>
    <row r="9" spans="1:7" ht="12.75" customHeight="1" x14ac:dyDescent="0.15">
      <c r="A9" s="58" t="s">
        <v>89</v>
      </c>
      <c r="B9" s="59"/>
      <c r="C9" s="60"/>
      <c r="D9" s="30"/>
      <c r="E9" s="29">
        <f>SUM(E5:E8)</f>
        <v>31880000</v>
      </c>
      <c r="F9" s="29">
        <f>SUM(F5:F8)</f>
        <v>32908494</v>
      </c>
      <c r="G9" s="4">
        <f>F9/E9</f>
        <v>1.032261417816813</v>
      </c>
    </row>
    <row r="10" spans="1:7" ht="12.75" customHeight="1" x14ac:dyDescent="0.15">
      <c r="A10" s="28"/>
      <c r="B10" s="28"/>
      <c r="C10" s="28"/>
      <c r="D10" s="28"/>
    </row>
    <row r="11" spans="1:7" ht="12.75" customHeight="1" x14ac:dyDescent="0.15"/>
    <row r="12" spans="1:7" ht="12.75" customHeight="1" x14ac:dyDescent="0.15">
      <c r="A12" s="1" t="s">
        <v>88</v>
      </c>
    </row>
    <row r="13" spans="1:7" ht="12.75" customHeight="1" x14ac:dyDescent="0.15">
      <c r="A13" s="27" t="s">
        <v>87</v>
      </c>
      <c r="B13" s="27" t="s">
        <v>86</v>
      </c>
      <c r="C13" s="27" t="s">
        <v>85</v>
      </c>
      <c r="D13" s="27" t="s">
        <v>84</v>
      </c>
      <c r="E13" s="27" t="s">
        <v>83</v>
      </c>
      <c r="F13" s="26" t="s">
        <v>82</v>
      </c>
      <c r="G13" s="26" t="s">
        <v>1</v>
      </c>
    </row>
    <row r="14" spans="1:7" ht="12.75" customHeight="1" x14ac:dyDescent="0.15">
      <c r="A14" s="20" t="s">
        <v>81</v>
      </c>
      <c r="B14" s="20" t="s">
        <v>80</v>
      </c>
      <c r="C14" s="25" t="s">
        <v>79</v>
      </c>
      <c r="D14" s="5" t="s">
        <v>78</v>
      </c>
      <c r="E14" s="5">
        <v>1200000</v>
      </c>
      <c r="F14" s="3">
        <f>'20240331'!F14+300000</f>
        <v>1200000</v>
      </c>
      <c r="G14" s="4">
        <f t="shared" ref="G14:G66" si="0">F14/E14</f>
        <v>1</v>
      </c>
    </row>
    <row r="15" spans="1:7" ht="12.75" customHeight="1" x14ac:dyDescent="0.15">
      <c r="A15" s="18"/>
      <c r="B15" s="18"/>
      <c r="C15" s="25" t="s">
        <v>77</v>
      </c>
      <c r="D15" s="24" t="s">
        <v>76</v>
      </c>
      <c r="E15" s="24">
        <v>400000</v>
      </c>
      <c r="F15" s="3">
        <f>'20240331'!F15+100000</f>
        <v>400000</v>
      </c>
      <c r="G15" s="4">
        <f t="shared" si="0"/>
        <v>1</v>
      </c>
    </row>
    <row r="16" spans="1:7" ht="12.75" customHeight="1" x14ac:dyDescent="0.15">
      <c r="A16" s="18"/>
      <c r="B16" s="18"/>
      <c r="C16" s="25" t="s">
        <v>75</v>
      </c>
      <c r="D16" s="5" t="s">
        <v>74</v>
      </c>
      <c r="E16" s="24">
        <v>2000000</v>
      </c>
      <c r="F16" s="3">
        <f>'20240331'!F16</f>
        <v>2000000</v>
      </c>
      <c r="G16" s="4">
        <f t="shared" si="0"/>
        <v>1</v>
      </c>
    </row>
    <row r="17" spans="1:8" ht="12.75" customHeight="1" x14ac:dyDescent="0.15">
      <c r="A17" s="18"/>
      <c r="B17" s="18"/>
      <c r="C17" s="20"/>
      <c r="D17" s="5" t="s">
        <v>17</v>
      </c>
      <c r="E17" s="5">
        <f>SUM(E14:E16)</f>
        <v>3600000</v>
      </c>
      <c r="F17" s="5">
        <f>SUM(F14:F16)</f>
        <v>3600000</v>
      </c>
      <c r="G17" s="4">
        <f t="shared" si="0"/>
        <v>1</v>
      </c>
      <c r="H17" s="12">
        <f>F17-'[1]20210930'!F16</f>
        <v>1000000</v>
      </c>
    </row>
    <row r="18" spans="1:8" ht="12.75" customHeight="1" x14ac:dyDescent="0.15">
      <c r="A18" s="19" t="s">
        <v>73</v>
      </c>
      <c r="B18" s="19" t="s">
        <v>72</v>
      </c>
      <c r="C18" s="19" t="s">
        <v>71</v>
      </c>
      <c r="D18" s="13" t="s">
        <v>70</v>
      </c>
      <c r="E18" s="5">
        <v>3200000</v>
      </c>
      <c r="F18" s="3">
        <f>'20240331'!F18</f>
        <v>3157900</v>
      </c>
      <c r="G18" s="4">
        <f t="shared" si="0"/>
        <v>0.98684375000000002</v>
      </c>
    </row>
    <row r="19" spans="1:8" ht="12.75" customHeight="1" x14ac:dyDescent="0.15">
      <c r="A19" s="17"/>
      <c r="B19" s="17"/>
      <c r="C19" s="17"/>
      <c r="D19" s="13" t="s">
        <v>69</v>
      </c>
      <c r="E19" s="5">
        <v>850000</v>
      </c>
      <c r="F19" s="3">
        <f>'20240331'!F19+218000+189000+46800+76500</f>
        <v>831300</v>
      </c>
      <c r="G19" s="4">
        <f t="shared" si="0"/>
        <v>0.97799999999999998</v>
      </c>
    </row>
    <row r="20" spans="1:8" ht="12.75" customHeight="1" x14ac:dyDescent="0.15">
      <c r="A20" s="17"/>
      <c r="B20" s="17"/>
      <c r="C20" s="17"/>
      <c r="D20" s="13" t="s">
        <v>68</v>
      </c>
      <c r="E20" s="5"/>
      <c r="F20" s="3">
        <f>'20240331'!F20</f>
        <v>0</v>
      </c>
      <c r="G20" s="4" t="e">
        <f t="shared" si="0"/>
        <v>#DIV/0!</v>
      </c>
    </row>
    <row r="21" spans="1:8" ht="12.75" customHeight="1" x14ac:dyDescent="0.15">
      <c r="A21" s="17"/>
      <c r="B21" s="17"/>
      <c r="C21" s="17"/>
      <c r="D21" s="13" t="s">
        <v>67</v>
      </c>
      <c r="E21" s="23">
        <v>500000</v>
      </c>
      <c r="F21" s="3">
        <f>'20240331'!F21</f>
        <v>497500</v>
      </c>
      <c r="G21" s="4">
        <f t="shared" si="0"/>
        <v>0.995</v>
      </c>
    </row>
    <row r="22" spans="1:8" ht="12.75" customHeight="1" x14ac:dyDescent="0.15">
      <c r="A22" s="17"/>
      <c r="B22" s="17"/>
      <c r="C22" s="17"/>
      <c r="D22" s="13" t="s">
        <v>17</v>
      </c>
      <c r="E22" s="5">
        <f>SUM(E18:E21)</f>
        <v>4550000</v>
      </c>
      <c r="F22" s="5">
        <f>SUM(F18:F21)</f>
        <v>4486700</v>
      </c>
      <c r="G22" s="4">
        <f t="shared" si="0"/>
        <v>0.98608791208791213</v>
      </c>
      <c r="H22" s="12">
        <f>F22-'[1]20210930'!F22</f>
        <v>4120700</v>
      </c>
    </row>
    <row r="23" spans="1:8" ht="12.75" customHeight="1" x14ac:dyDescent="0.15">
      <c r="A23" s="17"/>
      <c r="B23" s="17"/>
      <c r="C23" s="19" t="s">
        <v>66</v>
      </c>
      <c r="D23" s="13" t="s">
        <v>65</v>
      </c>
      <c r="E23" s="5">
        <v>1750000</v>
      </c>
      <c r="F23" s="3">
        <f>'20240331'!F23</f>
        <v>1730100</v>
      </c>
      <c r="G23" s="4">
        <f t="shared" si="0"/>
        <v>0.98862857142857141</v>
      </c>
    </row>
    <row r="24" spans="1:8" ht="12.75" customHeight="1" x14ac:dyDescent="0.15">
      <c r="A24" s="17"/>
      <c r="B24" s="17"/>
      <c r="C24" s="17"/>
      <c r="D24" s="13" t="s">
        <v>64</v>
      </c>
      <c r="E24" s="5"/>
      <c r="F24" s="3">
        <f>'20240331'!F24</f>
        <v>0</v>
      </c>
      <c r="G24" s="4" t="e">
        <f t="shared" si="0"/>
        <v>#DIV/0!</v>
      </c>
    </row>
    <row r="25" spans="1:8" ht="12.75" customHeight="1" x14ac:dyDescent="0.15">
      <c r="A25" s="18"/>
      <c r="B25" s="17"/>
      <c r="C25" s="17"/>
      <c r="D25" s="13" t="s">
        <v>63</v>
      </c>
      <c r="E25" s="5">
        <v>2200000</v>
      </c>
      <c r="F25" s="3">
        <f>'20240331'!F25+569420</f>
        <v>2184020</v>
      </c>
      <c r="G25" s="4">
        <f t="shared" si="0"/>
        <v>0.99273636363636364</v>
      </c>
    </row>
    <row r="26" spans="1:8" ht="12.75" customHeight="1" x14ac:dyDescent="0.15">
      <c r="A26" s="17"/>
      <c r="B26" s="17"/>
      <c r="C26" s="17"/>
      <c r="D26" s="13" t="s">
        <v>62</v>
      </c>
      <c r="E26" s="5">
        <v>50000</v>
      </c>
      <c r="F26" s="3">
        <f>'20240331'!F26</f>
        <v>36800</v>
      </c>
      <c r="G26" s="4">
        <f t="shared" si="0"/>
        <v>0.73599999999999999</v>
      </c>
    </row>
    <row r="27" spans="1:8" ht="12.75" customHeight="1" x14ac:dyDescent="0.15">
      <c r="A27" s="17"/>
      <c r="B27" s="17"/>
      <c r="C27" s="17"/>
      <c r="D27" s="13" t="s">
        <v>61</v>
      </c>
      <c r="E27" s="5">
        <v>0</v>
      </c>
      <c r="F27" s="3">
        <f>'20240331'!F27</f>
        <v>0</v>
      </c>
      <c r="G27" s="4" t="e">
        <f t="shared" si="0"/>
        <v>#DIV/0!</v>
      </c>
    </row>
    <row r="28" spans="1:8" ht="12.75" customHeight="1" x14ac:dyDescent="0.15">
      <c r="A28" s="17"/>
      <c r="B28" s="17"/>
      <c r="C28" s="15"/>
      <c r="D28" s="13" t="s">
        <v>17</v>
      </c>
      <c r="E28" s="5">
        <f>SUM(E23:E27)</f>
        <v>4000000</v>
      </c>
      <c r="F28" s="5">
        <f>SUM(F23:F27)</f>
        <v>3950920</v>
      </c>
      <c r="G28" s="4">
        <f t="shared" si="0"/>
        <v>0.98773</v>
      </c>
      <c r="H28" s="12">
        <f>F28-'[1]20210930'!F28</f>
        <v>956053</v>
      </c>
    </row>
    <row r="29" spans="1:8" ht="12.75" customHeight="1" x14ac:dyDescent="0.15">
      <c r="A29" s="17"/>
      <c r="B29" s="17"/>
      <c r="C29" s="19" t="s">
        <v>60</v>
      </c>
      <c r="D29" s="13" t="s">
        <v>59</v>
      </c>
      <c r="E29" s="22">
        <v>50000</v>
      </c>
      <c r="F29" s="3">
        <f>'20240331'!F29</f>
        <v>4800</v>
      </c>
      <c r="G29" s="4">
        <f t="shared" si="0"/>
        <v>9.6000000000000002E-2</v>
      </c>
    </row>
    <row r="30" spans="1:8" ht="12.75" customHeight="1" x14ac:dyDescent="0.15">
      <c r="A30" s="17"/>
      <c r="B30" s="17"/>
      <c r="C30" s="15"/>
      <c r="D30" s="13" t="s">
        <v>17</v>
      </c>
      <c r="E30" s="5">
        <f>SUM(E29)</f>
        <v>50000</v>
      </c>
      <c r="F30" s="5">
        <f>SUM(F29)</f>
        <v>4800</v>
      </c>
      <c r="G30" s="4">
        <f t="shared" si="0"/>
        <v>9.6000000000000002E-2</v>
      </c>
      <c r="H30" s="12">
        <f>F30-'[1]20210930'!F30</f>
        <v>4800</v>
      </c>
    </row>
    <row r="31" spans="1:8" ht="12.75" customHeight="1" x14ac:dyDescent="0.15">
      <c r="A31" s="17"/>
      <c r="B31" s="17"/>
      <c r="C31" s="19" t="s">
        <v>58</v>
      </c>
      <c r="D31" s="21" t="s">
        <v>57</v>
      </c>
      <c r="E31" s="5">
        <v>0</v>
      </c>
      <c r="F31" s="3">
        <f>'20240331'!F31</f>
        <v>0</v>
      </c>
      <c r="G31" s="4" t="e">
        <f t="shared" si="0"/>
        <v>#DIV/0!</v>
      </c>
    </row>
    <row r="32" spans="1:8" ht="12.75" customHeight="1" x14ac:dyDescent="0.15">
      <c r="A32" s="17"/>
      <c r="B32" s="17"/>
      <c r="C32" s="17"/>
      <c r="D32" s="13" t="s">
        <v>56</v>
      </c>
      <c r="E32" s="5">
        <v>0</v>
      </c>
      <c r="F32" s="3">
        <f>'20240331'!F32</f>
        <v>0</v>
      </c>
      <c r="G32" s="4" t="e">
        <f t="shared" si="0"/>
        <v>#DIV/0!</v>
      </c>
    </row>
    <row r="33" spans="1:8" ht="12.75" customHeight="1" x14ac:dyDescent="0.15">
      <c r="A33" s="17"/>
      <c r="B33" s="17"/>
      <c r="C33" s="15"/>
      <c r="D33" s="13" t="s">
        <v>17</v>
      </c>
      <c r="E33" s="5">
        <f>SUM(E31:E32)</f>
        <v>0</v>
      </c>
      <c r="F33" s="5">
        <f>SUM(F31:F32)</f>
        <v>0</v>
      </c>
      <c r="G33" s="4" t="e">
        <f t="shared" si="0"/>
        <v>#DIV/0!</v>
      </c>
      <c r="H33" s="12">
        <f>F33-'[1]20210930'!F33</f>
        <v>0</v>
      </c>
    </row>
    <row r="34" spans="1:8" ht="12.75" customHeight="1" x14ac:dyDescent="0.15">
      <c r="A34" s="17"/>
      <c r="B34" s="17"/>
      <c r="C34" s="19" t="s">
        <v>55</v>
      </c>
      <c r="D34" s="13" t="s">
        <v>54</v>
      </c>
      <c r="E34" s="5">
        <v>0</v>
      </c>
      <c r="F34" s="3">
        <f>'20240331'!F34</f>
        <v>0</v>
      </c>
      <c r="G34" s="4" t="e">
        <f t="shared" si="0"/>
        <v>#DIV/0!</v>
      </c>
    </row>
    <row r="35" spans="1:8" ht="12.75" customHeight="1" x14ac:dyDescent="0.15">
      <c r="A35" s="17"/>
      <c r="B35" s="17"/>
      <c r="C35" s="17"/>
      <c r="D35" s="13" t="s">
        <v>53</v>
      </c>
      <c r="E35" s="5">
        <v>100000</v>
      </c>
      <c r="F35" s="3">
        <f>'20240331'!F35</f>
        <v>50000</v>
      </c>
      <c r="G35" s="4">
        <f t="shared" si="0"/>
        <v>0.5</v>
      </c>
    </row>
    <row r="36" spans="1:8" ht="12.75" customHeight="1" x14ac:dyDescent="0.15">
      <c r="A36" s="18"/>
      <c r="B36" s="17"/>
      <c r="C36" s="17"/>
      <c r="D36" s="13" t="s">
        <v>52</v>
      </c>
      <c r="E36" s="5">
        <v>1130000</v>
      </c>
      <c r="F36" s="3">
        <f>'20240331'!F36</f>
        <v>784300</v>
      </c>
      <c r="G36" s="4">
        <f t="shared" si="0"/>
        <v>0.694070796460177</v>
      </c>
    </row>
    <row r="37" spans="1:8" ht="12.75" customHeight="1" x14ac:dyDescent="0.15">
      <c r="A37" s="16"/>
      <c r="B37" s="15"/>
      <c r="C37" s="15"/>
      <c r="D37" s="13" t="s">
        <v>17</v>
      </c>
      <c r="E37" s="5">
        <f>SUM(E34:E36)</f>
        <v>1230000</v>
      </c>
      <c r="F37" s="5">
        <f>SUM(F34:F36)</f>
        <v>834300</v>
      </c>
      <c r="G37" s="4">
        <f t="shared" si="0"/>
        <v>0.67829268292682932</v>
      </c>
      <c r="H37" s="12">
        <f>F37-'[1]20210930'!F37</f>
        <v>685400</v>
      </c>
    </row>
    <row r="38" spans="1:8" ht="12.75" customHeight="1" x14ac:dyDescent="0.15">
      <c r="A38" s="20" t="s">
        <v>49</v>
      </c>
      <c r="B38" s="19" t="s">
        <v>49</v>
      </c>
      <c r="C38" s="11" t="s">
        <v>48</v>
      </c>
      <c r="D38" s="13" t="s">
        <v>47</v>
      </c>
      <c r="E38" s="5">
        <v>5000000</v>
      </c>
      <c r="F38" s="3">
        <f>'20240331'!F38+84000+200000+200000+200000+450000+150000+50000</f>
        <v>4974810</v>
      </c>
      <c r="G38" s="4">
        <f t="shared" si="0"/>
        <v>0.99496200000000001</v>
      </c>
    </row>
    <row r="39" spans="1:8" ht="12.75" customHeight="1" x14ac:dyDescent="0.15">
      <c r="A39" s="18"/>
      <c r="B39" s="17"/>
      <c r="C39" s="11"/>
      <c r="D39" s="13" t="s">
        <v>17</v>
      </c>
      <c r="E39" s="5">
        <f>E38</f>
        <v>5000000</v>
      </c>
      <c r="F39" s="5">
        <f>SUM(F38)</f>
        <v>4974810</v>
      </c>
      <c r="G39" s="4">
        <f t="shared" si="0"/>
        <v>0.99496200000000001</v>
      </c>
      <c r="H39" s="12">
        <f>F39-'[1]20210930'!F39</f>
        <v>2552810</v>
      </c>
    </row>
    <row r="40" spans="1:8" ht="12.75" customHeight="1" x14ac:dyDescent="0.15">
      <c r="A40" s="18"/>
      <c r="B40" s="17"/>
      <c r="C40" s="11" t="s">
        <v>46</v>
      </c>
      <c r="D40" s="13" t="s">
        <v>45</v>
      </c>
      <c r="E40" s="5">
        <v>0</v>
      </c>
      <c r="F40" s="3">
        <f>'20240331'!F40</f>
        <v>0</v>
      </c>
      <c r="G40" s="4" t="e">
        <f t="shared" si="0"/>
        <v>#DIV/0!</v>
      </c>
    </row>
    <row r="41" spans="1:8" ht="12.75" customHeight="1" x14ac:dyDescent="0.15">
      <c r="A41" s="18"/>
      <c r="B41" s="17"/>
      <c r="C41" s="19"/>
      <c r="D41" s="13" t="s">
        <v>17</v>
      </c>
      <c r="E41" s="5">
        <f>SUM(E40)</f>
        <v>0</v>
      </c>
      <c r="F41" s="5">
        <f>SUM(F40)</f>
        <v>0</v>
      </c>
      <c r="G41" s="4" t="e">
        <f t="shared" si="0"/>
        <v>#DIV/0!</v>
      </c>
      <c r="H41" s="12">
        <f>F41-'[1]20210831'!F41</f>
        <v>0</v>
      </c>
    </row>
    <row r="42" spans="1:8" ht="12.75" customHeight="1" x14ac:dyDescent="0.15">
      <c r="A42" s="18"/>
      <c r="B42" s="17"/>
      <c r="C42" s="19" t="s">
        <v>44</v>
      </c>
      <c r="D42" s="13" t="s">
        <v>43</v>
      </c>
      <c r="E42" s="5">
        <v>0</v>
      </c>
      <c r="F42" s="3">
        <f>'20240331'!F42</f>
        <v>0</v>
      </c>
      <c r="G42" s="4" t="e">
        <f t="shared" si="0"/>
        <v>#DIV/0!</v>
      </c>
    </row>
    <row r="43" spans="1:8" ht="12.75" customHeight="1" x14ac:dyDescent="0.15">
      <c r="A43" s="18"/>
      <c r="B43" s="17"/>
      <c r="C43" s="17"/>
      <c r="D43" s="13" t="s">
        <v>42</v>
      </c>
      <c r="E43" s="5">
        <v>0</v>
      </c>
      <c r="F43" s="3">
        <f>'20240331'!F43</f>
        <v>0</v>
      </c>
      <c r="G43" s="4" t="e">
        <f t="shared" si="0"/>
        <v>#DIV/0!</v>
      </c>
    </row>
    <row r="44" spans="1:8" ht="12.75" customHeight="1" x14ac:dyDescent="0.15">
      <c r="A44" s="18"/>
      <c r="B44" s="17"/>
      <c r="C44" s="17"/>
      <c r="D44" s="13" t="s">
        <v>41</v>
      </c>
      <c r="E44" s="5">
        <v>0</v>
      </c>
      <c r="F44" s="3">
        <f>'20240331'!F44</f>
        <v>0</v>
      </c>
      <c r="G44" s="4" t="e">
        <f t="shared" si="0"/>
        <v>#DIV/0!</v>
      </c>
    </row>
    <row r="45" spans="1:8" ht="12.75" customHeight="1" x14ac:dyDescent="0.15">
      <c r="A45" s="18"/>
      <c r="B45" s="17"/>
      <c r="C45" s="17"/>
      <c r="D45" s="13" t="s">
        <v>40</v>
      </c>
      <c r="E45" s="5">
        <v>2000000</v>
      </c>
      <c r="F45" s="3">
        <f>'20240331'!F45</f>
        <v>1866540</v>
      </c>
      <c r="G45" s="4">
        <f t="shared" si="0"/>
        <v>0.93327000000000004</v>
      </c>
      <c r="H45" s="12">
        <f>F45-'[1]20210930'!F45</f>
        <v>689940</v>
      </c>
    </row>
    <row r="46" spans="1:8" ht="12.75" customHeight="1" x14ac:dyDescent="0.15">
      <c r="A46" s="18"/>
      <c r="B46" s="17"/>
      <c r="C46" s="17"/>
      <c r="D46" s="13" t="s">
        <v>39</v>
      </c>
      <c r="E46" s="5">
        <v>2000000</v>
      </c>
      <c r="F46" s="3">
        <f>'20240331'!F46</f>
        <v>2000000</v>
      </c>
      <c r="G46" s="4">
        <f t="shared" si="0"/>
        <v>1</v>
      </c>
    </row>
    <row r="47" spans="1:8" ht="12.75" customHeight="1" x14ac:dyDescent="0.15">
      <c r="A47" s="18"/>
      <c r="B47" s="17"/>
      <c r="C47" s="17"/>
      <c r="D47" s="13" t="s">
        <v>17</v>
      </c>
      <c r="E47" s="5">
        <f>SUM(E42:E46)</f>
        <v>4000000</v>
      </c>
      <c r="F47" s="3"/>
      <c r="G47" s="4"/>
    </row>
    <row r="48" spans="1:8" ht="12.75" customHeight="1" x14ac:dyDescent="0.15">
      <c r="A48" s="18"/>
      <c r="B48" s="17"/>
      <c r="C48" s="45" t="s">
        <v>38</v>
      </c>
      <c r="D48" s="13" t="s">
        <v>111</v>
      </c>
      <c r="E48" s="5">
        <v>0</v>
      </c>
      <c r="F48" s="3">
        <f>'20240331'!F47</f>
        <v>0</v>
      </c>
      <c r="G48" s="4" t="e">
        <f t="shared" si="0"/>
        <v>#DIV/0!</v>
      </c>
    </row>
    <row r="49" spans="1:8" ht="12.75" customHeight="1" x14ac:dyDescent="0.15">
      <c r="A49" s="18"/>
      <c r="B49" s="17"/>
      <c r="C49" s="47"/>
      <c r="D49" s="13" t="s">
        <v>110</v>
      </c>
      <c r="E49" s="5">
        <f>SUM(E48)</f>
        <v>0</v>
      </c>
      <c r="F49" s="5">
        <f>SUM(F42:F48)</f>
        <v>3866540</v>
      </c>
      <c r="G49" s="4" t="e">
        <f t="shared" si="0"/>
        <v>#DIV/0!</v>
      </c>
      <c r="H49" s="12">
        <f>F49-'[1]20210930'!F47</f>
        <v>2689940</v>
      </c>
    </row>
    <row r="50" spans="1:8" ht="12.75" customHeight="1" x14ac:dyDescent="0.15">
      <c r="A50" s="18"/>
      <c r="B50" s="19" t="s">
        <v>37</v>
      </c>
      <c r="C50" s="19" t="s">
        <v>36</v>
      </c>
      <c r="D50" s="13" t="s">
        <v>35</v>
      </c>
      <c r="E50" s="5">
        <v>1400000</v>
      </c>
      <c r="F50" s="3">
        <f>'20240331'!F49+21500+60000+250000</f>
        <v>1366100</v>
      </c>
      <c r="G50" s="4">
        <f t="shared" si="0"/>
        <v>0.97578571428571426</v>
      </c>
      <c r="H50" s="12">
        <f>E50-F50</f>
        <v>33900</v>
      </c>
    </row>
    <row r="51" spans="1:8" ht="12.75" customHeight="1" x14ac:dyDescent="0.15">
      <c r="A51" s="18"/>
      <c r="B51" s="17"/>
      <c r="C51" s="17"/>
      <c r="D51" s="13" t="s">
        <v>34</v>
      </c>
      <c r="E51" s="5">
        <v>1200000</v>
      </c>
      <c r="F51" s="3">
        <f>'20240331'!F50+60000+23500+42000+40000+22000+19900+105000+120000+155000</f>
        <v>1163800</v>
      </c>
      <c r="G51" s="4">
        <f t="shared" si="0"/>
        <v>0.96983333333333333</v>
      </c>
      <c r="H51" s="12">
        <f>E51-F51</f>
        <v>36200</v>
      </c>
    </row>
    <row r="52" spans="1:8" ht="12.75" customHeight="1" x14ac:dyDescent="0.15">
      <c r="A52" s="18"/>
      <c r="B52" s="17"/>
      <c r="C52" s="17"/>
      <c r="D52" s="13" t="s">
        <v>33</v>
      </c>
      <c r="E52" s="5">
        <v>0</v>
      </c>
      <c r="F52" s="3">
        <f>'20240331'!F51</f>
        <v>0</v>
      </c>
      <c r="G52" s="4" t="e">
        <f t="shared" si="0"/>
        <v>#DIV/0!</v>
      </c>
    </row>
    <row r="53" spans="1:8" ht="12.75" customHeight="1" x14ac:dyDescent="0.15">
      <c r="A53" s="18"/>
      <c r="B53" s="17"/>
      <c r="C53" s="15"/>
      <c r="D53" s="13" t="s">
        <v>17</v>
      </c>
      <c r="E53" s="5">
        <f>SUM(E50:E52)</f>
        <v>2600000</v>
      </c>
      <c r="F53" s="5">
        <f>SUM(F50:F52)</f>
        <v>2529900</v>
      </c>
      <c r="G53" s="4">
        <f t="shared" si="0"/>
        <v>0.97303846153846152</v>
      </c>
      <c r="H53" s="12">
        <f t="shared" ref="H53:H63" si="1">E53-F53</f>
        <v>70100</v>
      </c>
    </row>
    <row r="54" spans="1:8" ht="12.75" customHeight="1" x14ac:dyDescent="0.15">
      <c r="A54" s="18"/>
      <c r="B54" s="17"/>
      <c r="C54" s="19" t="s">
        <v>32</v>
      </c>
      <c r="D54" s="13" t="s">
        <v>31</v>
      </c>
      <c r="E54" s="5">
        <v>650000</v>
      </c>
      <c r="F54" s="3">
        <f>'20240331'!F53+26000+64000+40000+100000+79000</f>
        <v>634000</v>
      </c>
      <c r="G54" s="4">
        <f t="shared" si="0"/>
        <v>0.97538461538461541</v>
      </c>
      <c r="H54" s="12">
        <f t="shared" si="1"/>
        <v>16000</v>
      </c>
    </row>
    <row r="55" spans="1:8" ht="12.75" customHeight="1" x14ac:dyDescent="0.15">
      <c r="A55" s="18"/>
      <c r="B55" s="17"/>
      <c r="C55" s="15"/>
      <c r="D55" s="13" t="s">
        <v>17</v>
      </c>
      <c r="E55" s="5">
        <f>SUM(E54)</f>
        <v>650000</v>
      </c>
      <c r="F55" s="5">
        <f>SUM(F54)</f>
        <v>634000</v>
      </c>
      <c r="G55" s="4">
        <f t="shared" si="0"/>
        <v>0.97538461538461541</v>
      </c>
      <c r="H55" s="12">
        <f t="shared" si="1"/>
        <v>16000</v>
      </c>
    </row>
    <row r="56" spans="1:8" ht="12.75" customHeight="1" x14ac:dyDescent="0.15">
      <c r="A56" s="18"/>
      <c r="B56" s="17"/>
      <c r="C56" s="19" t="s">
        <v>29</v>
      </c>
      <c r="D56" s="13" t="s">
        <v>28</v>
      </c>
      <c r="E56" s="5">
        <v>2000000</v>
      </c>
      <c r="F56" s="3">
        <f>'20240331'!F55+300000+300000</f>
        <v>1800000</v>
      </c>
      <c r="G56" s="4">
        <f t="shared" si="0"/>
        <v>0.9</v>
      </c>
      <c r="H56" s="12">
        <f t="shared" si="1"/>
        <v>200000</v>
      </c>
    </row>
    <row r="57" spans="1:8" ht="12.75" customHeight="1" x14ac:dyDescent="0.15">
      <c r="A57" s="18"/>
      <c r="B57" s="17"/>
      <c r="C57" s="17"/>
      <c r="D57" s="13" t="s">
        <v>27</v>
      </c>
      <c r="E57" s="5">
        <v>1300000</v>
      </c>
      <c r="F57" s="3">
        <f>'20240331'!F56+100000+100000</f>
        <v>1200000</v>
      </c>
      <c r="G57" s="4">
        <f t="shared" si="0"/>
        <v>0.92307692307692313</v>
      </c>
      <c r="H57" s="12">
        <f t="shared" si="1"/>
        <v>100000</v>
      </c>
    </row>
    <row r="58" spans="1:8" ht="12.75" customHeight="1" x14ac:dyDescent="0.15">
      <c r="A58" s="17"/>
      <c r="B58" s="17"/>
      <c r="C58" s="17"/>
      <c r="D58" s="13" t="s">
        <v>26</v>
      </c>
      <c r="E58" s="5">
        <v>500000</v>
      </c>
      <c r="F58" s="3">
        <f>'20240331'!F57</f>
        <v>493000</v>
      </c>
      <c r="G58" s="4">
        <f t="shared" si="0"/>
        <v>0.98599999999999999</v>
      </c>
      <c r="H58" s="12">
        <f t="shared" si="1"/>
        <v>7000</v>
      </c>
    </row>
    <row r="59" spans="1:8" ht="12.75" customHeight="1" x14ac:dyDescent="0.15">
      <c r="A59" s="17"/>
      <c r="B59" s="17"/>
      <c r="C59" s="17"/>
      <c r="D59" s="13" t="s">
        <v>25</v>
      </c>
      <c r="E59" s="5">
        <v>0</v>
      </c>
      <c r="F59" s="3">
        <f>'20240229'!F58</f>
        <v>0</v>
      </c>
      <c r="G59" s="4" t="e">
        <f t="shared" si="0"/>
        <v>#DIV/0!</v>
      </c>
      <c r="H59" s="12">
        <f t="shared" si="1"/>
        <v>0</v>
      </c>
    </row>
    <row r="60" spans="1:8" ht="12.75" customHeight="1" x14ac:dyDescent="0.15">
      <c r="A60" s="18"/>
      <c r="B60" s="17"/>
      <c r="C60" s="17"/>
      <c r="D60" s="14" t="s">
        <v>24</v>
      </c>
      <c r="E60" s="5">
        <v>200000</v>
      </c>
      <c r="F60" s="3">
        <f>'20240331'!F59</f>
        <v>180000</v>
      </c>
      <c r="G60" s="4">
        <f t="shared" si="0"/>
        <v>0.9</v>
      </c>
      <c r="H60" s="12">
        <f t="shared" si="1"/>
        <v>20000</v>
      </c>
    </row>
    <row r="61" spans="1:8" ht="12.75" customHeight="1" x14ac:dyDescent="0.15">
      <c r="A61" s="16"/>
      <c r="B61" s="15"/>
      <c r="C61" s="15"/>
      <c r="D61" s="14" t="s">
        <v>23</v>
      </c>
      <c r="E61" s="5">
        <v>1000000</v>
      </c>
      <c r="F61" s="3">
        <f>'20240331'!F60+54000+54000+64000</f>
        <v>712000</v>
      </c>
      <c r="G61" s="4">
        <f t="shared" si="0"/>
        <v>0.71199999999999997</v>
      </c>
      <c r="H61" s="12">
        <f t="shared" si="1"/>
        <v>288000</v>
      </c>
    </row>
    <row r="62" spans="1:8" ht="12.75" customHeight="1" x14ac:dyDescent="0.15">
      <c r="A62" s="16"/>
      <c r="B62" s="15"/>
      <c r="C62" s="15"/>
      <c r="D62" s="14" t="s">
        <v>17</v>
      </c>
      <c r="E62" s="5">
        <f>SUM(E56:E61)</f>
        <v>5000000</v>
      </c>
      <c r="F62" s="5">
        <f>SUM(F56:F61)</f>
        <v>4385000</v>
      </c>
      <c r="G62" s="4">
        <f t="shared" si="0"/>
        <v>0.877</v>
      </c>
      <c r="H62" s="12">
        <f t="shared" si="1"/>
        <v>615000</v>
      </c>
    </row>
    <row r="63" spans="1:8" ht="12.75" customHeight="1" x14ac:dyDescent="0.15">
      <c r="A63" s="45" t="s">
        <v>22</v>
      </c>
      <c r="B63" s="48" t="s">
        <v>21</v>
      </c>
      <c r="C63" s="49"/>
      <c r="D63" s="13" t="s">
        <v>20</v>
      </c>
      <c r="E63" s="5">
        <v>400000</v>
      </c>
      <c r="F63" s="3">
        <f>'20240331'!F62+100000</f>
        <v>400000</v>
      </c>
      <c r="G63" s="4">
        <f t="shared" si="0"/>
        <v>1</v>
      </c>
      <c r="H63" s="12">
        <f t="shared" si="1"/>
        <v>0</v>
      </c>
    </row>
    <row r="64" spans="1:8" ht="12.75" customHeight="1" x14ac:dyDescent="0.15">
      <c r="A64" s="46"/>
      <c r="B64" s="48" t="s">
        <v>19</v>
      </c>
      <c r="C64" s="49"/>
      <c r="D64" s="13" t="s">
        <v>18</v>
      </c>
      <c r="E64" s="5">
        <v>800000</v>
      </c>
      <c r="F64" s="3">
        <f>'20240331'!F63+200000</f>
        <v>800000</v>
      </c>
      <c r="G64" s="4">
        <f t="shared" si="0"/>
        <v>1</v>
      </c>
    </row>
    <row r="65" spans="1:8" ht="12.75" customHeight="1" x14ac:dyDescent="0.15">
      <c r="A65" s="47"/>
      <c r="B65" s="50"/>
      <c r="C65" s="51"/>
      <c r="D65" s="13" t="s">
        <v>17</v>
      </c>
      <c r="E65" s="5">
        <f>SUM(E63:E64)</f>
        <v>1200000</v>
      </c>
      <c r="F65" s="5">
        <f>SUM(F63:F64)</f>
        <v>1200000</v>
      </c>
      <c r="G65" s="4">
        <f t="shared" si="0"/>
        <v>1</v>
      </c>
      <c r="H65" s="12">
        <f>F65-'[1]20210930'!F63</f>
        <v>-300000</v>
      </c>
    </row>
    <row r="66" spans="1:8" ht="12.75" customHeight="1" x14ac:dyDescent="0.15">
      <c r="A66" s="11" t="s">
        <v>15</v>
      </c>
      <c r="B66" s="11" t="s">
        <v>15</v>
      </c>
      <c r="C66" s="11" t="s">
        <v>15</v>
      </c>
      <c r="D66" s="5" t="s">
        <v>14</v>
      </c>
      <c r="E66" s="5"/>
      <c r="F66" s="5">
        <v>0</v>
      </c>
      <c r="G66" s="4" t="e">
        <f t="shared" si="0"/>
        <v>#DIV/0!</v>
      </c>
    </row>
    <row r="67" spans="1:8" ht="12.75" customHeight="1" x14ac:dyDescent="0.15">
      <c r="A67" s="11" t="s">
        <v>12</v>
      </c>
      <c r="B67" s="11" t="s">
        <v>12</v>
      </c>
      <c r="C67" s="11" t="s">
        <v>11</v>
      </c>
      <c r="D67" s="5" t="s">
        <v>10</v>
      </c>
      <c r="E67" s="5">
        <v>0</v>
      </c>
      <c r="F67" s="5">
        <v>0</v>
      </c>
      <c r="G67" s="10"/>
    </row>
    <row r="68" spans="1:8" ht="12.75" customHeight="1" x14ac:dyDescent="0.15">
      <c r="A68" s="52" t="s">
        <v>9</v>
      </c>
      <c r="B68" s="52"/>
      <c r="C68" s="52"/>
      <c r="D68" s="5"/>
      <c r="E68" s="5">
        <f>E17+E22+E28++E30+E33+E37+E39+E41+E47+E49+E53+E55+E62+E65+E66</f>
        <v>31880000</v>
      </c>
      <c r="F68" s="5">
        <f>F17+F22+F28+F30+F33+F37+F39+F41+F49+F53+F55+F62+F65+F66</f>
        <v>30466970</v>
      </c>
      <c r="G68" s="4">
        <f>F68/E68</f>
        <v>0.95567659974905894</v>
      </c>
    </row>
    <row r="69" spans="1:8" ht="12.75" customHeight="1" x14ac:dyDescent="0.15"/>
    <row r="70" spans="1:8" ht="12.75" customHeight="1" x14ac:dyDescent="0.15">
      <c r="A70" s="1" t="s">
        <v>107</v>
      </c>
    </row>
    <row r="71" spans="1:8" ht="12.75" customHeight="1" x14ac:dyDescent="0.15">
      <c r="A71" s="53" t="s">
        <v>8</v>
      </c>
      <c r="B71" s="42" t="s">
        <v>7</v>
      </c>
      <c r="C71" s="43"/>
      <c r="D71" s="42" t="s">
        <v>6</v>
      </c>
      <c r="E71" s="43"/>
      <c r="F71" s="44" t="s">
        <v>5</v>
      </c>
      <c r="G71" s="44"/>
    </row>
    <row r="72" spans="1:8" ht="12.75" customHeight="1" x14ac:dyDescent="0.15">
      <c r="A72" s="53"/>
      <c r="B72" s="38" t="s">
        <v>4</v>
      </c>
      <c r="C72" s="38" t="s">
        <v>3</v>
      </c>
      <c r="D72" s="38" t="s">
        <v>2</v>
      </c>
      <c r="E72" s="38" t="s">
        <v>1</v>
      </c>
      <c r="F72" s="38" t="s">
        <v>0</v>
      </c>
      <c r="G72" s="7"/>
    </row>
    <row r="73" spans="1:8" ht="12.75" customHeight="1" x14ac:dyDescent="0.15">
      <c r="A73" s="6">
        <f>E9</f>
        <v>31880000</v>
      </c>
      <c r="B73" s="5">
        <f>+F9</f>
        <v>32908494</v>
      </c>
      <c r="C73" s="4">
        <f>+G9</f>
        <v>1.032261417816813</v>
      </c>
      <c r="D73" s="3">
        <f>+F68</f>
        <v>30466970</v>
      </c>
      <c r="E73" s="4">
        <f>+G68</f>
        <v>0.95567659974905894</v>
      </c>
      <c r="F73" s="3">
        <f>B73-D73</f>
        <v>2441524</v>
      </c>
      <c r="G73" s="2"/>
    </row>
  </sheetData>
  <mergeCells count="15">
    <mergeCell ref="A63:A65"/>
    <mergeCell ref="B63:C63"/>
    <mergeCell ref="B64:C64"/>
    <mergeCell ref="B65:C65"/>
    <mergeCell ref="C48:C49"/>
    <mergeCell ref="A1:G1"/>
    <mergeCell ref="A5:A8"/>
    <mergeCell ref="B6:B7"/>
    <mergeCell ref="C6:C7"/>
    <mergeCell ref="A9:C9"/>
    <mergeCell ref="A68:C68"/>
    <mergeCell ref="A71:A72"/>
    <mergeCell ref="B71:C71"/>
    <mergeCell ref="D71:E71"/>
    <mergeCell ref="F71:G71"/>
  </mergeCells>
  <phoneticPr fontId="3" type="noConversion"/>
  <printOptions horizontalCentered="1"/>
  <pageMargins left="0.39370078740157483" right="0.35433070866141736" top="0.6692913385826772" bottom="0.19685039370078741" header="0.19685039370078741" footer="0.15748031496062992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view="pageBreakPreview" topLeftCell="A31" zoomScaleNormal="100" workbookViewId="0">
      <selection activeCell="F56" sqref="F56"/>
    </sheetView>
  </sheetViews>
  <sheetFormatPr defaultRowHeight="11.25" x14ac:dyDescent="0.15"/>
  <cols>
    <col min="1" max="1" width="8.6640625" style="1" bestFit="1" customWidth="1"/>
    <col min="2" max="2" width="10.44140625" style="1" customWidth="1"/>
    <col min="3" max="3" width="15.6640625" style="1" bestFit="1" customWidth="1"/>
    <col min="4" max="4" width="21.6640625" style="1" bestFit="1" customWidth="1"/>
    <col min="5" max="5" width="10.88671875" style="1" customWidth="1"/>
    <col min="6" max="6" width="12.5546875" style="1" bestFit="1" customWidth="1"/>
    <col min="7" max="7" width="8.77734375" style="1" customWidth="1"/>
    <col min="8" max="8" width="8.88671875" style="1" hidden="1" customWidth="1"/>
    <col min="9" max="16384" width="8.88671875" style="1"/>
  </cols>
  <sheetData>
    <row r="1" spans="1:7" ht="25.5" x14ac:dyDescent="0.15">
      <c r="A1" s="54" t="s">
        <v>105</v>
      </c>
      <c r="B1" s="54"/>
      <c r="C1" s="54"/>
      <c r="D1" s="54"/>
      <c r="E1" s="54"/>
      <c r="F1" s="54"/>
      <c r="G1" s="54"/>
    </row>
    <row r="2" spans="1:7" x14ac:dyDescent="0.15">
      <c r="F2" s="12">
        <f>F8-E8</f>
        <v>0</v>
      </c>
    </row>
    <row r="3" spans="1:7" ht="12.75" customHeight="1" x14ac:dyDescent="0.15">
      <c r="A3" s="1" t="s">
        <v>100</v>
      </c>
    </row>
    <row r="4" spans="1:7" ht="12.75" customHeight="1" x14ac:dyDescent="0.15">
      <c r="A4" s="27" t="s">
        <v>87</v>
      </c>
      <c r="B4" s="27" t="s">
        <v>86</v>
      </c>
      <c r="C4" s="27" t="s">
        <v>85</v>
      </c>
      <c r="D4" s="27" t="s">
        <v>84</v>
      </c>
      <c r="E4" s="27" t="s">
        <v>83</v>
      </c>
      <c r="F4" s="26" t="s">
        <v>98</v>
      </c>
      <c r="G4" s="26" t="s">
        <v>3</v>
      </c>
    </row>
    <row r="5" spans="1:7" ht="12" customHeight="1" x14ac:dyDescent="0.15">
      <c r="A5" s="55" t="s">
        <v>7</v>
      </c>
      <c r="B5" s="36" t="s">
        <v>81</v>
      </c>
      <c r="C5" s="36" t="s">
        <v>95</v>
      </c>
      <c r="D5" s="35" t="s">
        <v>94</v>
      </c>
      <c r="E5" s="34">
        <v>21200000</v>
      </c>
      <c r="F5" s="3">
        <f>'20240229'!F5+1623790+1159040+1773360+592980</f>
        <v>15851210</v>
      </c>
      <c r="G5" s="4">
        <f>F5/E5</f>
        <v>0.74769858490566032</v>
      </c>
    </row>
    <row r="6" spans="1:7" ht="12" customHeight="1" x14ac:dyDescent="0.15">
      <c r="A6" s="55"/>
      <c r="B6" s="56" t="s">
        <v>93</v>
      </c>
      <c r="C6" s="56" t="s">
        <v>92</v>
      </c>
      <c r="D6" s="32" t="s">
        <v>91</v>
      </c>
      <c r="E6" s="34">
        <v>10672948</v>
      </c>
      <c r="F6" s="3">
        <f>'20240229'!F6</f>
        <v>10672948</v>
      </c>
      <c r="G6" s="4"/>
    </row>
    <row r="7" spans="1:7" ht="12.75" customHeight="1" x14ac:dyDescent="0.15">
      <c r="A7" s="55"/>
      <c r="B7" s="57"/>
      <c r="C7" s="57"/>
      <c r="D7" s="32" t="s">
        <v>90</v>
      </c>
      <c r="E7" s="31">
        <v>7052</v>
      </c>
      <c r="F7" s="3">
        <f>'20240229'!F7+2262+8962</f>
        <v>22490</v>
      </c>
      <c r="G7" s="4">
        <f>F7/E7</f>
        <v>3.1891661939875213</v>
      </c>
    </row>
    <row r="8" spans="1:7" ht="12.75" customHeight="1" x14ac:dyDescent="0.15">
      <c r="A8" s="55"/>
      <c r="B8" s="33" t="s">
        <v>15</v>
      </c>
      <c r="C8" s="33" t="s">
        <v>15</v>
      </c>
      <c r="D8" s="32" t="s">
        <v>14</v>
      </c>
      <c r="E8" s="31">
        <v>0</v>
      </c>
      <c r="F8" s="3">
        <f>'20240131'!F8</f>
        <v>0</v>
      </c>
      <c r="G8" s="4" t="e">
        <f>F8/E8</f>
        <v>#DIV/0!</v>
      </c>
    </row>
    <row r="9" spans="1:7" ht="12.75" customHeight="1" x14ac:dyDescent="0.15">
      <c r="A9" s="58" t="s">
        <v>89</v>
      </c>
      <c r="B9" s="59"/>
      <c r="C9" s="60"/>
      <c r="D9" s="30"/>
      <c r="E9" s="29">
        <f>SUM(E5:E8)</f>
        <v>31880000</v>
      </c>
      <c r="F9" s="29">
        <f>SUM(F5:F8)</f>
        <v>26546648</v>
      </c>
      <c r="G9" s="4">
        <f>F9/E9</f>
        <v>0.8327053952321205</v>
      </c>
    </row>
    <row r="10" spans="1:7" ht="12.75" customHeight="1" x14ac:dyDescent="0.15">
      <c r="A10" s="28"/>
      <c r="B10" s="28"/>
      <c r="C10" s="28"/>
      <c r="D10" s="28"/>
    </row>
    <row r="11" spans="1:7" ht="12.75" customHeight="1" x14ac:dyDescent="0.15"/>
    <row r="12" spans="1:7" ht="12.75" customHeight="1" x14ac:dyDescent="0.15">
      <c r="A12" s="1" t="s">
        <v>88</v>
      </c>
    </row>
    <row r="13" spans="1:7" ht="12.75" customHeight="1" x14ac:dyDescent="0.15">
      <c r="A13" s="27" t="s">
        <v>87</v>
      </c>
      <c r="B13" s="27" t="s">
        <v>86</v>
      </c>
      <c r="C13" s="27" t="s">
        <v>85</v>
      </c>
      <c r="D13" s="27" t="s">
        <v>84</v>
      </c>
      <c r="E13" s="27" t="s">
        <v>83</v>
      </c>
      <c r="F13" s="26" t="s">
        <v>82</v>
      </c>
      <c r="G13" s="26" t="s">
        <v>1</v>
      </c>
    </row>
    <row r="14" spans="1:7" ht="12.75" customHeight="1" x14ac:dyDescent="0.15">
      <c r="A14" s="20" t="s">
        <v>81</v>
      </c>
      <c r="B14" s="20" t="s">
        <v>80</v>
      </c>
      <c r="C14" s="25" t="s">
        <v>79</v>
      </c>
      <c r="D14" s="5" t="s">
        <v>78</v>
      </c>
      <c r="E14" s="5">
        <v>1200000</v>
      </c>
      <c r="F14" s="3">
        <f>'20240229'!F14+600000+300000</f>
        <v>900000</v>
      </c>
      <c r="G14" s="4">
        <f t="shared" ref="G14:G65" si="0">F14/E14</f>
        <v>0.75</v>
      </c>
    </row>
    <row r="15" spans="1:7" ht="12.75" customHeight="1" x14ac:dyDescent="0.15">
      <c r="A15" s="18"/>
      <c r="B15" s="18"/>
      <c r="C15" s="25" t="s">
        <v>77</v>
      </c>
      <c r="D15" s="24" t="s">
        <v>76</v>
      </c>
      <c r="E15" s="24">
        <v>400000</v>
      </c>
      <c r="F15" s="3">
        <f>'20240229'!F15+200000+100000</f>
        <v>300000</v>
      </c>
      <c r="G15" s="4">
        <f t="shared" si="0"/>
        <v>0.75</v>
      </c>
    </row>
    <row r="16" spans="1:7" ht="12.75" customHeight="1" x14ac:dyDescent="0.15">
      <c r="A16" s="18"/>
      <c r="B16" s="18"/>
      <c r="C16" s="25" t="s">
        <v>75</v>
      </c>
      <c r="D16" s="5" t="s">
        <v>74</v>
      </c>
      <c r="E16" s="24">
        <v>2000000</v>
      </c>
      <c r="F16" s="3">
        <f>'20240229'!F16</f>
        <v>2000000</v>
      </c>
      <c r="G16" s="4">
        <f t="shared" si="0"/>
        <v>1</v>
      </c>
    </row>
    <row r="17" spans="1:8" ht="12.75" customHeight="1" x14ac:dyDescent="0.15">
      <c r="A17" s="18"/>
      <c r="B17" s="18"/>
      <c r="C17" s="20"/>
      <c r="D17" s="5" t="s">
        <v>17</v>
      </c>
      <c r="E17" s="5">
        <f>SUM(E14:E16)</f>
        <v>3600000</v>
      </c>
      <c r="F17" s="5">
        <f>SUM(F14:F16)</f>
        <v>3200000</v>
      </c>
      <c r="G17" s="4">
        <f t="shared" si="0"/>
        <v>0.88888888888888884</v>
      </c>
      <c r="H17" s="12">
        <f>F17-'[1]20210930'!F16</f>
        <v>600000</v>
      </c>
    </row>
    <row r="18" spans="1:8" ht="12.75" customHeight="1" x14ac:dyDescent="0.15">
      <c r="A18" s="19" t="s">
        <v>73</v>
      </c>
      <c r="B18" s="19" t="s">
        <v>72</v>
      </c>
      <c r="C18" s="19" t="s">
        <v>71</v>
      </c>
      <c r="D18" s="13" t="s">
        <v>70</v>
      </c>
      <c r="E18" s="5">
        <v>3000000</v>
      </c>
      <c r="F18" s="3">
        <f>'20240229'!F18</f>
        <v>3157900</v>
      </c>
      <c r="G18" s="4">
        <f t="shared" si="0"/>
        <v>1.0526333333333333</v>
      </c>
    </row>
    <row r="19" spans="1:8" ht="12.75" customHeight="1" x14ac:dyDescent="0.15">
      <c r="A19" s="17"/>
      <c r="B19" s="17"/>
      <c r="C19" s="17"/>
      <c r="D19" s="13" t="s">
        <v>69</v>
      </c>
      <c r="E19" s="5">
        <v>300000</v>
      </c>
      <c r="F19" s="3">
        <f>'20240229'!F19</f>
        <v>301000</v>
      </c>
      <c r="G19" s="4">
        <f t="shared" si="0"/>
        <v>1.0033333333333334</v>
      </c>
    </row>
    <row r="20" spans="1:8" ht="12.75" customHeight="1" x14ac:dyDescent="0.15">
      <c r="A20" s="17"/>
      <c r="B20" s="17"/>
      <c r="C20" s="17"/>
      <c r="D20" s="13" t="s">
        <v>68</v>
      </c>
      <c r="E20" s="5"/>
      <c r="F20" s="3">
        <f>'20240229'!F20</f>
        <v>0</v>
      </c>
      <c r="G20" s="4" t="e">
        <f t="shared" si="0"/>
        <v>#DIV/0!</v>
      </c>
    </row>
    <row r="21" spans="1:8" ht="12.75" customHeight="1" x14ac:dyDescent="0.15">
      <c r="A21" s="17"/>
      <c r="B21" s="17"/>
      <c r="C21" s="17"/>
      <c r="D21" s="13" t="s">
        <v>67</v>
      </c>
      <c r="E21" s="23">
        <v>500000</v>
      </c>
      <c r="F21" s="3">
        <f>'20240229'!F21</f>
        <v>497500</v>
      </c>
      <c r="G21" s="4">
        <f t="shared" si="0"/>
        <v>0.995</v>
      </c>
    </row>
    <row r="22" spans="1:8" ht="12.75" customHeight="1" x14ac:dyDescent="0.15">
      <c r="A22" s="17"/>
      <c r="B22" s="17"/>
      <c r="C22" s="17"/>
      <c r="D22" s="13" t="s">
        <v>17</v>
      </c>
      <c r="E22" s="5">
        <f>SUM(E18:E21)</f>
        <v>3800000</v>
      </c>
      <c r="F22" s="5">
        <f>SUM(F18:F21)</f>
        <v>3956400</v>
      </c>
      <c r="G22" s="4">
        <f t="shared" si="0"/>
        <v>1.0411578947368421</v>
      </c>
      <c r="H22" s="12">
        <f>F22-'[1]20210930'!F22</f>
        <v>3590400</v>
      </c>
    </row>
    <row r="23" spans="1:8" ht="12.75" customHeight="1" x14ac:dyDescent="0.15">
      <c r="A23" s="17"/>
      <c r="B23" s="17"/>
      <c r="C23" s="19" t="s">
        <v>66</v>
      </c>
      <c r="D23" s="13" t="s">
        <v>65</v>
      </c>
      <c r="E23" s="5">
        <v>2000000</v>
      </c>
      <c r="F23" s="3">
        <f>'20240229'!F23</f>
        <v>1730100</v>
      </c>
      <c r="G23" s="4">
        <f t="shared" si="0"/>
        <v>0.86504999999999999</v>
      </c>
    </row>
    <row r="24" spans="1:8" ht="12.75" customHeight="1" x14ac:dyDescent="0.15">
      <c r="A24" s="17"/>
      <c r="B24" s="17"/>
      <c r="C24" s="17"/>
      <c r="D24" s="13" t="s">
        <v>64</v>
      </c>
      <c r="E24" s="5"/>
      <c r="F24" s="3">
        <f>'20240229'!F24</f>
        <v>0</v>
      </c>
      <c r="G24" s="4" t="e">
        <f t="shared" si="0"/>
        <v>#DIV/0!</v>
      </c>
    </row>
    <row r="25" spans="1:8" ht="12.75" customHeight="1" x14ac:dyDescent="0.15">
      <c r="A25" s="18"/>
      <c r="B25" s="17"/>
      <c r="C25" s="17"/>
      <c r="D25" s="13" t="s">
        <v>63</v>
      </c>
      <c r="E25" s="5">
        <v>1200000</v>
      </c>
      <c r="F25" s="3">
        <f>'20240229'!F25+1135200+394400</f>
        <v>1614600</v>
      </c>
      <c r="G25" s="4">
        <f t="shared" si="0"/>
        <v>1.3454999999999999</v>
      </c>
    </row>
    <row r="26" spans="1:8" ht="12.75" customHeight="1" x14ac:dyDescent="0.15">
      <c r="A26" s="17"/>
      <c r="B26" s="17"/>
      <c r="C26" s="17"/>
      <c r="D26" s="13" t="s">
        <v>62</v>
      </c>
      <c r="E26" s="5">
        <v>300000</v>
      </c>
      <c r="F26" s="3">
        <f>'20240229'!F26</f>
        <v>36800</v>
      </c>
      <c r="G26" s="4">
        <f t="shared" si="0"/>
        <v>0.12266666666666666</v>
      </c>
    </row>
    <row r="27" spans="1:8" ht="12.75" customHeight="1" x14ac:dyDescent="0.15">
      <c r="A27" s="17"/>
      <c r="B27" s="17"/>
      <c r="C27" s="17"/>
      <c r="D27" s="13" t="s">
        <v>61</v>
      </c>
      <c r="E27" s="5">
        <v>50000</v>
      </c>
      <c r="F27" s="3">
        <f>'20240229'!F27</f>
        <v>0</v>
      </c>
      <c r="G27" s="4">
        <f t="shared" si="0"/>
        <v>0</v>
      </c>
    </row>
    <row r="28" spans="1:8" ht="12.75" customHeight="1" x14ac:dyDescent="0.15">
      <c r="A28" s="17"/>
      <c r="B28" s="17"/>
      <c r="C28" s="15"/>
      <c r="D28" s="13" t="s">
        <v>17</v>
      </c>
      <c r="E28" s="5">
        <f>SUM(E23:E27)</f>
        <v>3550000</v>
      </c>
      <c r="F28" s="5">
        <f>SUM(F23:F27)</f>
        <v>3381500</v>
      </c>
      <c r="G28" s="4">
        <f t="shared" si="0"/>
        <v>0.95253521126760565</v>
      </c>
      <c r="H28" s="12">
        <f>F28-'[1]20210930'!F28</f>
        <v>386633</v>
      </c>
    </row>
    <row r="29" spans="1:8" ht="12.75" customHeight="1" x14ac:dyDescent="0.15">
      <c r="A29" s="17"/>
      <c r="B29" s="17"/>
      <c r="C29" s="19" t="s">
        <v>60</v>
      </c>
      <c r="D29" s="13" t="s">
        <v>59</v>
      </c>
      <c r="E29" s="22">
        <v>50000</v>
      </c>
      <c r="F29" s="3">
        <f>'20240229'!F29</f>
        <v>4800</v>
      </c>
      <c r="G29" s="4">
        <f t="shared" si="0"/>
        <v>9.6000000000000002E-2</v>
      </c>
    </row>
    <row r="30" spans="1:8" ht="12.75" customHeight="1" x14ac:dyDescent="0.15">
      <c r="A30" s="17"/>
      <c r="B30" s="17"/>
      <c r="C30" s="15"/>
      <c r="D30" s="13" t="s">
        <v>17</v>
      </c>
      <c r="E30" s="5">
        <f>SUM(E29)</f>
        <v>50000</v>
      </c>
      <c r="F30" s="5">
        <f>SUM(F29)</f>
        <v>4800</v>
      </c>
      <c r="G30" s="4">
        <f t="shared" si="0"/>
        <v>9.6000000000000002E-2</v>
      </c>
      <c r="H30" s="12">
        <f>F30-'[1]20210930'!F30</f>
        <v>4800</v>
      </c>
    </row>
    <row r="31" spans="1:8" ht="12.75" customHeight="1" x14ac:dyDescent="0.15">
      <c r="A31" s="17"/>
      <c r="B31" s="17"/>
      <c r="C31" s="19" t="s">
        <v>58</v>
      </c>
      <c r="D31" s="21" t="s">
        <v>57</v>
      </c>
      <c r="E31" s="5">
        <v>0</v>
      </c>
      <c r="F31" s="3">
        <f>'20240229'!F31</f>
        <v>0</v>
      </c>
      <c r="G31" s="4" t="e">
        <f t="shared" si="0"/>
        <v>#DIV/0!</v>
      </c>
    </row>
    <row r="32" spans="1:8" ht="12.75" customHeight="1" x14ac:dyDescent="0.15">
      <c r="A32" s="17"/>
      <c r="B32" s="17"/>
      <c r="C32" s="17"/>
      <c r="D32" s="13" t="s">
        <v>56</v>
      </c>
      <c r="E32" s="5">
        <v>50000</v>
      </c>
      <c r="F32" s="3">
        <f>'20240229'!F32</f>
        <v>0</v>
      </c>
      <c r="G32" s="4">
        <f t="shared" si="0"/>
        <v>0</v>
      </c>
    </row>
    <row r="33" spans="1:8" ht="12.75" customHeight="1" x14ac:dyDescent="0.15">
      <c r="A33" s="17"/>
      <c r="B33" s="17"/>
      <c r="C33" s="15"/>
      <c r="D33" s="13" t="s">
        <v>17</v>
      </c>
      <c r="E33" s="5">
        <f>SUM(E31:E32)</f>
        <v>50000</v>
      </c>
      <c r="F33" s="5">
        <f>SUM(F31:F32)</f>
        <v>0</v>
      </c>
      <c r="G33" s="4">
        <f t="shared" si="0"/>
        <v>0</v>
      </c>
      <c r="H33" s="12">
        <f>F33-'[1]20210930'!F33</f>
        <v>0</v>
      </c>
    </row>
    <row r="34" spans="1:8" ht="12.75" customHeight="1" x14ac:dyDescent="0.15">
      <c r="A34" s="17"/>
      <c r="B34" s="17"/>
      <c r="C34" s="19" t="s">
        <v>55</v>
      </c>
      <c r="D34" s="13" t="s">
        <v>54</v>
      </c>
      <c r="E34" s="5">
        <v>200000</v>
      </c>
      <c r="F34" s="3">
        <f>'20240229'!F34</f>
        <v>0</v>
      </c>
      <c r="G34" s="4">
        <f t="shared" si="0"/>
        <v>0</v>
      </c>
    </row>
    <row r="35" spans="1:8" ht="12.75" customHeight="1" x14ac:dyDescent="0.15">
      <c r="A35" s="17"/>
      <c r="B35" s="17"/>
      <c r="C35" s="17"/>
      <c r="D35" s="13" t="s">
        <v>53</v>
      </c>
      <c r="E35" s="5">
        <v>100000</v>
      </c>
      <c r="F35" s="3">
        <f>'20240229'!F35</f>
        <v>50000</v>
      </c>
      <c r="G35" s="4">
        <f t="shared" si="0"/>
        <v>0.5</v>
      </c>
    </row>
    <row r="36" spans="1:8" ht="12.75" customHeight="1" x14ac:dyDescent="0.15">
      <c r="A36" s="18"/>
      <c r="B36" s="17"/>
      <c r="C36" s="17"/>
      <c r="D36" s="13" t="s">
        <v>52</v>
      </c>
      <c r="E36" s="5">
        <v>1180000</v>
      </c>
      <c r="F36" s="3">
        <f>'20240229'!F36+112200+200000+188100</f>
        <v>784300</v>
      </c>
      <c r="G36" s="4">
        <f t="shared" si="0"/>
        <v>0.66466101694915258</v>
      </c>
    </row>
    <row r="37" spans="1:8" ht="12.75" customHeight="1" x14ac:dyDescent="0.15">
      <c r="A37" s="16"/>
      <c r="B37" s="15"/>
      <c r="C37" s="15"/>
      <c r="D37" s="13" t="s">
        <v>17</v>
      </c>
      <c r="E37" s="5">
        <f>SUM(E34:E36)</f>
        <v>1480000</v>
      </c>
      <c r="F37" s="5">
        <f>SUM(F34:F36)</f>
        <v>834300</v>
      </c>
      <c r="G37" s="4">
        <f t="shared" si="0"/>
        <v>0.56371621621621626</v>
      </c>
      <c r="H37" s="12">
        <f>F37-'[1]20210930'!F37</f>
        <v>685400</v>
      </c>
    </row>
    <row r="38" spans="1:8" ht="12.75" customHeight="1" x14ac:dyDescent="0.15">
      <c r="A38" s="20" t="s">
        <v>49</v>
      </c>
      <c r="B38" s="19" t="s">
        <v>49</v>
      </c>
      <c r="C38" s="11" t="s">
        <v>48</v>
      </c>
      <c r="D38" s="13" t="s">
        <v>47</v>
      </c>
      <c r="E38" s="5">
        <v>2500000</v>
      </c>
      <c r="F38" s="3">
        <f>'20240229'!F38</f>
        <v>3640810</v>
      </c>
      <c r="G38" s="4">
        <f t="shared" si="0"/>
        <v>1.456324</v>
      </c>
    </row>
    <row r="39" spans="1:8" ht="12.75" customHeight="1" x14ac:dyDescent="0.15">
      <c r="A39" s="18"/>
      <c r="B39" s="17"/>
      <c r="C39" s="11"/>
      <c r="D39" s="13" t="s">
        <v>17</v>
      </c>
      <c r="E39" s="5">
        <f>SUM(E38:E38)</f>
        <v>2500000</v>
      </c>
      <c r="F39" s="5">
        <f>SUM(F38)</f>
        <v>3640810</v>
      </c>
      <c r="G39" s="4">
        <f t="shared" si="0"/>
        <v>1.456324</v>
      </c>
      <c r="H39" s="12">
        <f>F39-'[1]20210930'!F39</f>
        <v>1218810</v>
      </c>
    </row>
    <row r="40" spans="1:8" ht="12.75" customHeight="1" x14ac:dyDescent="0.15">
      <c r="A40" s="18"/>
      <c r="B40" s="17"/>
      <c r="C40" s="11" t="s">
        <v>46</v>
      </c>
      <c r="D40" s="13" t="s">
        <v>45</v>
      </c>
      <c r="E40" s="5">
        <v>0</v>
      </c>
      <c r="F40" s="3">
        <f>'20240229'!F40</f>
        <v>0</v>
      </c>
      <c r="G40" s="4" t="e">
        <f t="shared" si="0"/>
        <v>#DIV/0!</v>
      </c>
    </row>
    <row r="41" spans="1:8" ht="12.75" customHeight="1" x14ac:dyDescent="0.15">
      <c r="A41" s="18"/>
      <c r="B41" s="17"/>
      <c r="C41" s="19"/>
      <c r="D41" s="13" t="s">
        <v>17</v>
      </c>
      <c r="E41" s="5">
        <f>SUM(E40)</f>
        <v>0</v>
      </c>
      <c r="F41" s="5">
        <f>SUM(F40)</f>
        <v>0</v>
      </c>
      <c r="G41" s="4" t="e">
        <f t="shared" si="0"/>
        <v>#DIV/0!</v>
      </c>
      <c r="H41" s="12">
        <f>F41-'[1]20210831'!F41</f>
        <v>0</v>
      </c>
    </row>
    <row r="42" spans="1:8" ht="12.75" customHeight="1" x14ac:dyDescent="0.15">
      <c r="A42" s="18"/>
      <c r="B42" s="17"/>
      <c r="C42" s="19" t="s">
        <v>44</v>
      </c>
      <c r="D42" s="13" t="s">
        <v>43</v>
      </c>
      <c r="E42" s="5">
        <v>0</v>
      </c>
      <c r="F42" s="3">
        <f>'20240229'!F42</f>
        <v>0</v>
      </c>
      <c r="G42" s="4" t="e">
        <f t="shared" si="0"/>
        <v>#DIV/0!</v>
      </c>
    </row>
    <row r="43" spans="1:8" ht="12.75" customHeight="1" x14ac:dyDescent="0.15">
      <c r="A43" s="18"/>
      <c r="B43" s="17"/>
      <c r="C43" s="17"/>
      <c r="D43" s="13" t="s">
        <v>42</v>
      </c>
      <c r="E43" s="5">
        <v>0</v>
      </c>
      <c r="F43" s="3">
        <f>'20240229'!F43</f>
        <v>0</v>
      </c>
      <c r="G43" s="4" t="e">
        <f t="shared" si="0"/>
        <v>#DIV/0!</v>
      </c>
    </row>
    <row r="44" spans="1:8" ht="12.75" customHeight="1" x14ac:dyDescent="0.15">
      <c r="A44" s="18"/>
      <c r="B44" s="17"/>
      <c r="C44" s="17"/>
      <c r="D44" s="13" t="s">
        <v>41</v>
      </c>
      <c r="E44" s="5">
        <v>0</v>
      </c>
      <c r="F44" s="3">
        <f>'20240229'!F44</f>
        <v>0</v>
      </c>
      <c r="G44" s="4" t="e">
        <f t="shared" si="0"/>
        <v>#DIV/0!</v>
      </c>
    </row>
    <row r="45" spans="1:8" ht="12.75" customHeight="1" x14ac:dyDescent="0.15">
      <c r="A45" s="18"/>
      <c r="B45" s="17"/>
      <c r="C45" s="17"/>
      <c r="D45" s="13" t="s">
        <v>40</v>
      </c>
      <c r="E45" s="5">
        <v>2000000</v>
      </c>
      <c r="F45" s="3">
        <f>'20240229'!F45</f>
        <v>1866540</v>
      </c>
      <c r="G45" s="4">
        <f t="shared" si="0"/>
        <v>0.93327000000000004</v>
      </c>
      <c r="H45" s="12">
        <f>F45-'[1]20210930'!F45</f>
        <v>689940</v>
      </c>
    </row>
    <row r="46" spans="1:8" ht="12.75" customHeight="1" x14ac:dyDescent="0.15">
      <c r="A46" s="18"/>
      <c r="B46" s="17"/>
      <c r="C46" s="17"/>
      <c r="D46" s="13" t="s">
        <v>39</v>
      </c>
      <c r="E46" s="5">
        <v>2000000</v>
      </c>
      <c r="F46" s="3">
        <f>'20240229'!F46+1000000+1000000</f>
        <v>2000000</v>
      </c>
      <c r="G46" s="4">
        <f t="shared" si="0"/>
        <v>1</v>
      </c>
    </row>
    <row r="47" spans="1:8" ht="12.75" customHeight="1" x14ac:dyDescent="0.15">
      <c r="A47" s="18"/>
      <c r="B47" s="17"/>
      <c r="C47" s="11" t="s">
        <v>38</v>
      </c>
      <c r="D47" s="13" t="s">
        <v>109</v>
      </c>
      <c r="E47" s="5">
        <v>400000</v>
      </c>
      <c r="F47" s="3">
        <f>'20240229'!F47</f>
        <v>0</v>
      </c>
      <c r="G47" s="4">
        <f t="shared" si="0"/>
        <v>0</v>
      </c>
    </row>
    <row r="48" spans="1:8" ht="12.75" customHeight="1" x14ac:dyDescent="0.15">
      <c r="A48" s="18"/>
      <c r="B48" s="17"/>
      <c r="C48" s="17"/>
      <c r="D48" s="13" t="s">
        <v>17</v>
      </c>
      <c r="E48" s="5">
        <f>SUM(E42:E47)</f>
        <v>4400000</v>
      </c>
      <c r="F48" s="5">
        <f>SUM(F42:F47)</f>
        <v>3866540</v>
      </c>
      <c r="G48" s="4">
        <f t="shared" si="0"/>
        <v>0.87875909090909088</v>
      </c>
      <c r="H48" s="12">
        <f>F48-'[1]20210930'!F47</f>
        <v>2689940</v>
      </c>
    </row>
    <row r="49" spans="1:8" ht="12.75" customHeight="1" x14ac:dyDescent="0.15">
      <c r="A49" s="18"/>
      <c r="B49" s="19" t="s">
        <v>37</v>
      </c>
      <c r="C49" s="19" t="s">
        <v>36</v>
      </c>
      <c r="D49" s="13" t="s">
        <v>35</v>
      </c>
      <c r="E49" s="5">
        <v>1000000</v>
      </c>
      <c r="F49" s="3">
        <f>'20240229'!F49+139000+97000</f>
        <v>1034600</v>
      </c>
      <c r="G49" s="4">
        <f t="shared" si="0"/>
        <v>1.0346</v>
      </c>
      <c r="H49" s="12">
        <f>E49-F49</f>
        <v>-34600</v>
      </c>
    </row>
    <row r="50" spans="1:8" ht="12.75" customHeight="1" x14ac:dyDescent="0.15">
      <c r="A50" s="18"/>
      <c r="B50" s="17"/>
      <c r="C50" s="17"/>
      <c r="D50" s="13" t="s">
        <v>34</v>
      </c>
      <c r="E50" s="5">
        <v>800000</v>
      </c>
      <c r="F50" s="3">
        <f>'20240229'!F50+49800+59000+59500</f>
        <v>576400</v>
      </c>
      <c r="G50" s="4">
        <f t="shared" si="0"/>
        <v>0.72050000000000003</v>
      </c>
      <c r="H50" s="12">
        <f>E50-F50</f>
        <v>223600</v>
      </c>
    </row>
    <row r="51" spans="1:8" ht="12.75" customHeight="1" x14ac:dyDescent="0.15">
      <c r="A51" s="18"/>
      <c r="B51" s="17"/>
      <c r="C51" s="17"/>
      <c r="D51" s="13" t="s">
        <v>33</v>
      </c>
      <c r="E51" s="5">
        <v>2750000</v>
      </c>
      <c r="F51" s="3">
        <f>'20240229'!F51</f>
        <v>0</v>
      </c>
      <c r="G51" s="4">
        <f t="shared" si="0"/>
        <v>0</v>
      </c>
    </row>
    <row r="52" spans="1:8" ht="12.75" customHeight="1" x14ac:dyDescent="0.15">
      <c r="A52" s="18"/>
      <c r="B52" s="17"/>
      <c r="C52" s="15"/>
      <c r="D52" s="13" t="s">
        <v>17</v>
      </c>
      <c r="E52" s="5">
        <f>SUM(E49:E51)</f>
        <v>4550000</v>
      </c>
      <c r="F52" s="5">
        <f>SUM(F49:F51)</f>
        <v>1611000</v>
      </c>
      <c r="G52" s="4">
        <f t="shared" si="0"/>
        <v>0.35406593406593406</v>
      </c>
      <c r="H52" s="12">
        <f t="shared" ref="H52:H62" si="1">E52-F52</f>
        <v>2939000</v>
      </c>
    </row>
    <row r="53" spans="1:8" ht="12.75" customHeight="1" x14ac:dyDescent="0.15">
      <c r="A53" s="18"/>
      <c r="B53" s="17"/>
      <c r="C53" s="19" t="s">
        <v>32</v>
      </c>
      <c r="D53" s="13" t="s">
        <v>31</v>
      </c>
      <c r="E53" s="5">
        <v>400000</v>
      </c>
      <c r="F53" s="3">
        <f>'20240229'!F53</f>
        <v>325000</v>
      </c>
      <c r="G53" s="4">
        <f t="shared" si="0"/>
        <v>0.8125</v>
      </c>
      <c r="H53" s="12">
        <f t="shared" si="1"/>
        <v>75000</v>
      </c>
    </row>
    <row r="54" spans="1:8" ht="12.75" customHeight="1" x14ac:dyDescent="0.15">
      <c r="A54" s="18"/>
      <c r="B54" s="17"/>
      <c r="C54" s="15"/>
      <c r="D54" s="13" t="s">
        <v>17</v>
      </c>
      <c r="E54" s="5">
        <f>SUM(E53)</f>
        <v>400000</v>
      </c>
      <c r="F54" s="5">
        <f>SUM(F53)</f>
        <v>325000</v>
      </c>
      <c r="G54" s="4">
        <f t="shared" si="0"/>
        <v>0.8125</v>
      </c>
      <c r="H54" s="12">
        <f t="shared" si="1"/>
        <v>75000</v>
      </c>
    </row>
    <row r="55" spans="1:8" ht="12.75" customHeight="1" x14ac:dyDescent="0.15">
      <c r="A55" s="18"/>
      <c r="B55" s="17"/>
      <c r="C55" s="19" t="s">
        <v>29</v>
      </c>
      <c r="D55" s="13" t="s">
        <v>28</v>
      </c>
      <c r="E55" s="5">
        <v>2000000</v>
      </c>
      <c r="F55" s="3">
        <f>'20240229'!F55+300000+300000+300000</f>
        <v>1200000</v>
      </c>
      <c r="G55" s="4">
        <f t="shared" si="0"/>
        <v>0.6</v>
      </c>
      <c r="H55" s="12">
        <f t="shared" si="1"/>
        <v>800000</v>
      </c>
    </row>
    <row r="56" spans="1:8" ht="12.75" customHeight="1" x14ac:dyDescent="0.15">
      <c r="A56" s="18"/>
      <c r="B56" s="17"/>
      <c r="C56" s="17"/>
      <c r="D56" s="13" t="s">
        <v>27</v>
      </c>
      <c r="E56" s="5">
        <v>2000000</v>
      </c>
      <c r="F56" s="3">
        <f>'20240229'!F56+100000+100000</f>
        <v>1000000</v>
      </c>
      <c r="G56" s="4">
        <f t="shared" si="0"/>
        <v>0.5</v>
      </c>
      <c r="H56" s="12">
        <f t="shared" si="1"/>
        <v>1000000</v>
      </c>
    </row>
    <row r="57" spans="1:8" ht="12.75" customHeight="1" x14ac:dyDescent="0.15">
      <c r="A57" s="17"/>
      <c r="B57" s="17"/>
      <c r="C57" s="17"/>
      <c r="D57" s="13" t="s">
        <v>26</v>
      </c>
      <c r="E57" s="5">
        <v>300000</v>
      </c>
      <c r="F57" s="3">
        <f>'20240229'!F57+204000</f>
        <v>493000</v>
      </c>
      <c r="G57" s="4">
        <f t="shared" si="0"/>
        <v>1.6433333333333333</v>
      </c>
      <c r="H57" s="12">
        <f t="shared" si="1"/>
        <v>-193000</v>
      </c>
    </row>
    <row r="58" spans="1:8" ht="12.75" customHeight="1" x14ac:dyDescent="0.15">
      <c r="A58" s="17"/>
      <c r="B58" s="17"/>
      <c r="C58" s="17"/>
      <c r="D58" s="13" t="s">
        <v>25</v>
      </c>
      <c r="E58" s="5">
        <v>0</v>
      </c>
      <c r="F58" s="3">
        <f>'20240229'!F58</f>
        <v>0</v>
      </c>
      <c r="G58" s="4" t="e">
        <f t="shared" si="0"/>
        <v>#DIV/0!</v>
      </c>
      <c r="H58" s="12">
        <f t="shared" si="1"/>
        <v>0</v>
      </c>
    </row>
    <row r="59" spans="1:8" ht="12.75" customHeight="1" x14ac:dyDescent="0.15">
      <c r="A59" s="18"/>
      <c r="B59" s="17"/>
      <c r="C59" s="17"/>
      <c r="D59" s="14" t="s">
        <v>24</v>
      </c>
      <c r="E59" s="5">
        <v>1000000</v>
      </c>
      <c r="F59" s="3">
        <f>'20240229'!F59+80000</f>
        <v>180000</v>
      </c>
      <c r="G59" s="4">
        <f t="shared" si="0"/>
        <v>0.18</v>
      </c>
      <c r="H59" s="12">
        <f t="shared" si="1"/>
        <v>820000</v>
      </c>
    </row>
    <row r="60" spans="1:8" ht="12.75" customHeight="1" x14ac:dyDescent="0.15">
      <c r="A60" s="16"/>
      <c r="B60" s="15"/>
      <c r="C60" s="15"/>
      <c r="D60" s="14" t="s">
        <v>23</v>
      </c>
      <c r="E60" s="5">
        <v>1000000</v>
      </c>
      <c r="F60" s="3">
        <f>'20240229'!F60+54000+108000+54000</f>
        <v>540000</v>
      </c>
      <c r="G60" s="4">
        <f t="shared" si="0"/>
        <v>0.54</v>
      </c>
      <c r="H60" s="12">
        <f t="shared" si="1"/>
        <v>460000</v>
      </c>
    </row>
    <row r="61" spans="1:8" ht="12.75" customHeight="1" x14ac:dyDescent="0.15">
      <c r="A61" s="16"/>
      <c r="B61" s="15"/>
      <c r="C61" s="15"/>
      <c r="D61" s="14" t="s">
        <v>17</v>
      </c>
      <c r="E61" s="5">
        <f>SUM(E55:E60)</f>
        <v>6300000</v>
      </c>
      <c r="F61" s="5">
        <f>SUM(F55:F60)</f>
        <v>3413000</v>
      </c>
      <c r="G61" s="4">
        <f t="shared" si="0"/>
        <v>0.54174603174603175</v>
      </c>
      <c r="H61" s="12">
        <f t="shared" si="1"/>
        <v>2887000</v>
      </c>
    </row>
    <row r="62" spans="1:8" ht="12.75" customHeight="1" x14ac:dyDescent="0.15">
      <c r="A62" s="45" t="s">
        <v>22</v>
      </c>
      <c r="B62" s="48" t="s">
        <v>21</v>
      </c>
      <c r="C62" s="49"/>
      <c r="D62" s="13" t="s">
        <v>20</v>
      </c>
      <c r="E62" s="5">
        <v>400000</v>
      </c>
      <c r="F62" s="3">
        <f>'20240229'!F62+100000+100000+100000</f>
        <v>300000</v>
      </c>
      <c r="G62" s="4">
        <f t="shared" si="0"/>
        <v>0.75</v>
      </c>
      <c r="H62" s="12">
        <f t="shared" si="1"/>
        <v>100000</v>
      </c>
    </row>
    <row r="63" spans="1:8" ht="12.75" customHeight="1" x14ac:dyDescent="0.15">
      <c r="A63" s="46"/>
      <c r="B63" s="48" t="s">
        <v>19</v>
      </c>
      <c r="C63" s="49"/>
      <c r="D63" s="13" t="s">
        <v>18</v>
      </c>
      <c r="E63" s="5">
        <v>800000</v>
      </c>
      <c r="F63" s="3">
        <f>'20240229'!F63+200000+200000+200000</f>
        <v>600000</v>
      </c>
      <c r="G63" s="4">
        <f t="shared" si="0"/>
        <v>0.75</v>
      </c>
    </row>
    <row r="64" spans="1:8" ht="12.75" customHeight="1" x14ac:dyDescent="0.15">
      <c r="A64" s="47"/>
      <c r="B64" s="50"/>
      <c r="C64" s="51"/>
      <c r="D64" s="13" t="s">
        <v>17</v>
      </c>
      <c r="E64" s="5">
        <f>SUM(E62:E63)</f>
        <v>1200000</v>
      </c>
      <c r="F64" s="5">
        <f>SUM(F62:F63)</f>
        <v>900000</v>
      </c>
      <c r="G64" s="4">
        <f t="shared" si="0"/>
        <v>0.75</v>
      </c>
      <c r="H64" s="12">
        <f>F64-'[1]20210930'!F63</f>
        <v>-600000</v>
      </c>
    </row>
    <row r="65" spans="1:7" ht="12.75" customHeight="1" x14ac:dyDescent="0.15">
      <c r="A65" s="11" t="s">
        <v>15</v>
      </c>
      <c r="B65" s="11" t="s">
        <v>15</v>
      </c>
      <c r="C65" s="11" t="s">
        <v>15</v>
      </c>
      <c r="D65" s="5" t="s">
        <v>14</v>
      </c>
      <c r="E65" s="5"/>
      <c r="F65" s="5">
        <v>0</v>
      </c>
      <c r="G65" s="4" t="e">
        <f t="shared" si="0"/>
        <v>#DIV/0!</v>
      </c>
    </row>
    <row r="66" spans="1:7" ht="12.75" customHeight="1" x14ac:dyDescent="0.15">
      <c r="A66" s="11" t="s">
        <v>12</v>
      </c>
      <c r="B66" s="11" t="s">
        <v>12</v>
      </c>
      <c r="C66" s="11" t="s">
        <v>11</v>
      </c>
      <c r="D66" s="5" t="s">
        <v>10</v>
      </c>
      <c r="E66" s="5">
        <v>0</v>
      </c>
      <c r="F66" s="5">
        <v>0</v>
      </c>
      <c r="G66" s="10"/>
    </row>
    <row r="67" spans="1:7" ht="12.75" customHeight="1" x14ac:dyDescent="0.15">
      <c r="A67" s="52" t="s">
        <v>9</v>
      </c>
      <c r="B67" s="52"/>
      <c r="C67" s="52"/>
      <c r="D67" s="5"/>
      <c r="E67" s="5">
        <f>E17+E22+E28++E30+E33+E37+E39+E41+E48+E52+E54+E61+E64+E65</f>
        <v>31880000</v>
      </c>
      <c r="F67" s="5">
        <f>F17+F22+F28+F30+F33+F37+F39+F41+F48+F52+F54+F61+F64+F65</f>
        <v>25133350</v>
      </c>
      <c r="G67" s="4">
        <f>F67/E67</f>
        <v>0.78837358845671268</v>
      </c>
    </row>
    <row r="68" spans="1:7" ht="12.75" customHeight="1" x14ac:dyDescent="0.15"/>
    <row r="69" spans="1:7" ht="12.75" customHeight="1" x14ac:dyDescent="0.15">
      <c r="A69" s="1" t="s">
        <v>106</v>
      </c>
    </row>
    <row r="70" spans="1:7" ht="12.75" customHeight="1" x14ac:dyDescent="0.15">
      <c r="A70" s="53" t="s">
        <v>8</v>
      </c>
      <c r="B70" s="42" t="s">
        <v>7</v>
      </c>
      <c r="C70" s="43"/>
      <c r="D70" s="42" t="s">
        <v>6</v>
      </c>
      <c r="E70" s="43"/>
      <c r="F70" s="44" t="s">
        <v>5</v>
      </c>
      <c r="G70" s="44"/>
    </row>
    <row r="71" spans="1:7" ht="12.75" customHeight="1" x14ac:dyDescent="0.15">
      <c r="A71" s="53"/>
      <c r="B71" s="37" t="s">
        <v>4</v>
      </c>
      <c r="C71" s="37" t="s">
        <v>3</v>
      </c>
      <c r="D71" s="37" t="s">
        <v>2</v>
      </c>
      <c r="E71" s="37" t="s">
        <v>1</v>
      </c>
      <c r="F71" s="37" t="s">
        <v>0</v>
      </c>
      <c r="G71" s="7"/>
    </row>
    <row r="72" spans="1:7" ht="12.75" customHeight="1" x14ac:dyDescent="0.15">
      <c r="A72" s="6">
        <f>E9</f>
        <v>31880000</v>
      </c>
      <c r="B72" s="5">
        <f>+F9</f>
        <v>26546648</v>
      </c>
      <c r="C72" s="4">
        <f>+G9</f>
        <v>0.8327053952321205</v>
      </c>
      <c r="D72" s="3">
        <f>+F67</f>
        <v>25133350</v>
      </c>
      <c r="E72" s="4">
        <f>+G67</f>
        <v>0.78837358845671268</v>
      </c>
      <c r="F72" s="3">
        <f>B72-D72</f>
        <v>1413298</v>
      </c>
      <c r="G72" s="2"/>
    </row>
  </sheetData>
  <mergeCells count="14">
    <mergeCell ref="A62:A64"/>
    <mergeCell ref="B62:C62"/>
    <mergeCell ref="B63:C63"/>
    <mergeCell ref="B64:C64"/>
    <mergeCell ref="A1:G1"/>
    <mergeCell ref="A5:A8"/>
    <mergeCell ref="B6:B7"/>
    <mergeCell ref="C6:C7"/>
    <mergeCell ref="A9:C9"/>
    <mergeCell ref="A67:C67"/>
    <mergeCell ref="A70:A71"/>
    <mergeCell ref="B70:C70"/>
    <mergeCell ref="D70:E70"/>
    <mergeCell ref="F70:G70"/>
  </mergeCells>
  <phoneticPr fontId="3" type="noConversion"/>
  <printOptions horizontalCentered="1"/>
  <pageMargins left="0.39370078740157483" right="0.35433070866141736" top="0.6692913385826772" bottom="0.19685039370078741" header="0.19685039370078741" footer="0.15748031496062992"/>
  <pageSetup paperSize="9" scale="8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view="pageBreakPreview" topLeftCell="A40" zoomScaleNormal="100" workbookViewId="0">
      <selection activeCell="D47" sqref="D47"/>
    </sheetView>
  </sheetViews>
  <sheetFormatPr defaultRowHeight="11.25" x14ac:dyDescent="0.15"/>
  <cols>
    <col min="1" max="1" width="8.6640625" style="1" bestFit="1" customWidth="1"/>
    <col min="2" max="2" width="10.44140625" style="1" customWidth="1"/>
    <col min="3" max="3" width="15.6640625" style="1" bestFit="1" customWidth="1"/>
    <col min="4" max="4" width="21.6640625" style="1" bestFit="1" customWidth="1"/>
    <col min="5" max="5" width="10.88671875" style="1" customWidth="1"/>
    <col min="6" max="6" width="12.5546875" style="1" bestFit="1" customWidth="1"/>
    <col min="7" max="7" width="8.77734375" style="1" customWidth="1"/>
    <col min="8" max="8" width="8.88671875" style="1" hidden="1" customWidth="1"/>
    <col min="9" max="16384" width="8.88671875" style="1"/>
  </cols>
  <sheetData>
    <row r="1" spans="1:7" ht="25.5" x14ac:dyDescent="0.15">
      <c r="A1" s="54" t="s">
        <v>102</v>
      </c>
      <c r="B1" s="54"/>
      <c r="C1" s="54"/>
      <c r="D1" s="54"/>
      <c r="E1" s="54"/>
      <c r="F1" s="54"/>
      <c r="G1" s="54"/>
    </row>
    <row r="2" spans="1:7" x14ac:dyDescent="0.15">
      <c r="F2" s="12">
        <f>F8-E8</f>
        <v>0</v>
      </c>
    </row>
    <row r="3" spans="1:7" ht="12.75" customHeight="1" x14ac:dyDescent="0.15">
      <c r="A3" s="1" t="s">
        <v>100</v>
      </c>
    </row>
    <row r="4" spans="1:7" ht="12.75" customHeight="1" x14ac:dyDescent="0.15">
      <c r="A4" s="27" t="s">
        <v>87</v>
      </c>
      <c r="B4" s="27" t="s">
        <v>86</v>
      </c>
      <c r="C4" s="27" t="s">
        <v>85</v>
      </c>
      <c r="D4" s="27" t="s">
        <v>84</v>
      </c>
      <c r="E4" s="27" t="s">
        <v>83</v>
      </c>
      <c r="F4" s="26" t="s">
        <v>98</v>
      </c>
      <c r="G4" s="26" t="s">
        <v>3</v>
      </c>
    </row>
    <row r="5" spans="1:7" ht="12" customHeight="1" x14ac:dyDescent="0.15">
      <c r="A5" s="55" t="s">
        <v>97</v>
      </c>
      <c r="B5" s="36" t="s">
        <v>81</v>
      </c>
      <c r="C5" s="36" t="s">
        <v>95</v>
      </c>
      <c r="D5" s="35" t="s">
        <v>94</v>
      </c>
      <c r="E5" s="34">
        <v>21200000</v>
      </c>
      <c r="F5" s="3">
        <f>'20240131'!F5+592980+1617380+1988060+180250+314950+663840</f>
        <v>10702040</v>
      </c>
      <c r="G5" s="4">
        <f>F5/E5</f>
        <v>0.50481320754716985</v>
      </c>
    </row>
    <row r="6" spans="1:7" ht="12" customHeight="1" x14ac:dyDescent="0.15">
      <c r="A6" s="55"/>
      <c r="B6" s="56" t="s">
        <v>93</v>
      </c>
      <c r="C6" s="56" t="s">
        <v>92</v>
      </c>
      <c r="D6" s="32" t="s">
        <v>91</v>
      </c>
      <c r="E6" s="34">
        <v>10672948</v>
      </c>
      <c r="F6" s="3">
        <f>'20240131'!F6</f>
        <v>10672948</v>
      </c>
      <c r="G6" s="4"/>
    </row>
    <row r="7" spans="1:7" ht="12.75" customHeight="1" x14ac:dyDescent="0.15">
      <c r="A7" s="55"/>
      <c r="B7" s="57"/>
      <c r="C7" s="57"/>
      <c r="D7" s="32" t="s">
        <v>90</v>
      </c>
      <c r="E7" s="31">
        <v>7052</v>
      </c>
      <c r="F7" s="3">
        <f>'20240131'!F7+6138</f>
        <v>11266</v>
      </c>
      <c r="G7" s="4">
        <f>F7/E7</f>
        <v>1.5975609756097562</v>
      </c>
    </row>
    <row r="8" spans="1:7" ht="12.75" customHeight="1" x14ac:dyDescent="0.15">
      <c r="A8" s="55"/>
      <c r="B8" s="33" t="s">
        <v>15</v>
      </c>
      <c r="C8" s="33" t="s">
        <v>15</v>
      </c>
      <c r="D8" s="32" t="s">
        <v>14</v>
      </c>
      <c r="E8" s="31">
        <v>0</v>
      </c>
      <c r="F8" s="3">
        <f>'20240131'!F8</f>
        <v>0</v>
      </c>
      <c r="G8" s="4" t="e">
        <f>F8/E8</f>
        <v>#DIV/0!</v>
      </c>
    </row>
    <row r="9" spans="1:7" ht="12.75" customHeight="1" x14ac:dyDescent="0.15">
      <c r="A9" s="58" t="s">
        <v>89</v>
      </c>
      <c r="B9" s="59"/>
      <c r="C9" s="60"/>
      <c r="D9" s="30"/>
      <c r="E9" s="29">
        <f>SUM(E5:E8)</f>
        <v>31880000</v>
      </c>
      <c r="F9" s="29">
        <f>SUM(F5:F8)</f>
        <v>21386254</v>
      </c>
      <c r="G9" s="4">
        <f>F9/E9</f>
        <v>0.67083607277289836</v>
      </c>
    </row>
    <row r="10" spans="1:7" ht="12.75" customHeight="1" x14ac:dyDescent="0.15">
      <c r="A10" s="28"/>
      <c r="B10" s="28"/>
      <c r="C10" s="28"/>
      <c r="D10" s="28"/>
    </row>
    <row r="11" spans="1:7" ht="12.75" customHeight="1" x14ac:dyDescent="0.15"/>
    <row r="12" spans="1:7" ht="12.75" customHeight="1" x14ac:dyDescent="0.15">
      <c r="A12" s="1" t="s">
        <v>88</v>
      </c>
    </row>
    <row r="13" spans="1:7" ht="12.75" customHeight="1" x14ac:dyDescent="0.15">
      <c r="A13" s="27" t="s">
        <v>87</v>
      </c>
      <c r="B13" s="27" t="s">
        <v>86</v>
      </c>
      <c r="C13" s="27" t="s">
        <v>85</v>
      </c>
      <c r="D13" s="27" t="s">
        <v>84</v>
      </c>
      <c r="E13" s="27" t="s">
        <v>83</v>
      </c>
      <c r="F13" s="26" t="s">
        <v>82</v>
      </c>
      <c r="G13" s="26" t="s">
        <v>1</v>
      </c>
    </row>
    <row r="14" spans="1:7" ht="12.75" customHeight="1" x14ac:dyDescent="0.15">
      <c r="A14" s="20" t="s">
        <v>81</v>
      </c>
      <c r="B14" s="20" t="s">
        <v>80</v>
      </c>
      <c r="C14" s="25" t="s">
        <v>79</v>
      </c>
      <c r="D14" s="5" t="s">
        <v>78</v>
      </c>
      <c r="E14" s="5">
        <v>1200000</v>
      </c>
      <c r="F14" s="3">
        <f>'20240131'!F14</f>
        <v>0</v>
      </c>
      <c r="G14" s="4">
        <f t="shared" ref="G14:G65" si="0">F14/E14</f>
        <v>0</v>
      </c>
    </row>
    <row r="15" spans="1:7" ht="12.75" customHeight="1" x14ac:dyDescent="0.15">
      <c r="A15" s="18"/>
      <c r="B15" s="18"/>
      <c r="C15" s="25" t="s">
        <v>77</v>
      </c>
      <c r="D15" s="24" t="s">
        <v>76</v>
      </c>
      <c r="E15" s="24">
        <v>400000</v>
      </c>
      <c r="F15" s="3">
        <f>'20240131'!F15</f>
        <v>0</v>
      </c>
      <c r="G15" s="4">
        <f t="shared" si="0"/>
        <v>0</v>
      </c>
    </row>
    <row r="16" spans="1:7" ht="12.75" customHeight="1" x14ac:dyDescent="0.15">
      <c r="A16" s="18"/>
      <c r="B16" s="18"/>
      <c r="C16" s="25" t="s">
        <v>75</v>
      </c>
      <c r="D16" s="5" t="s">
        <v>74</v>
      </c>
      <c r="E16" s="24">
        <v>2000000</v>
      </c>
      <c r="F16" s="3">
        <f>'20240131'!F16</f>
        <v>2000000</v>
      </c>
      <c r="G16" s="4">
        <f t="shared" si="0"/>
        <v>1</v>
      </c>
    </row>
    <row r="17" spans="1:8" ht="12.75" customHeight="1" x14ac:dyDescent="0.15">
      <c r="A17" s="18"/>
      <c r="B17" s="18"/>
      <c r="C17" s="20"/>
      <c r="D17" s="5" t="s">
        <v>17</v>
      </c>
      <c r="E17" s="5">
        <f>SUM(E14:E16)</f>
        <v>3600000</v>
      </c>
      <c r="F17" s="5">
        <f>SUM(F14:F16)</f>
        <v>2000000</v>
      </c>
      <c r="G17" s="4">
        <f t="shared" si="0"/>
        <v>0.55555555555555558</v>
      </c>
      <c r="H17" s="12">
        <f>F17-'[1]20210930'!F16</f>
        <v>-600000</v>
      </c>
    </row>
    <row r="18" spans="1:8" ht="12.75" customHeight="1" x14ac:dyDescent="0.15">
      <c r="A18" s="19" t="s">
        <v>73</v>
      </c>
      <c r="B18" s="19" t="s">
        <v>72</v>
      </c>
      <c r="C18" s="19" t="s">
        <v>71</v>
      </c>
      <c r="D18" s="13" t="s">
        <v>70</v>
      </c>
      <c r="E18" s="5">
        <v>3000000</v>
      </c>
      <c r="F18" s="3">
        <f>'20240131'!F18+1586900+183000</f>
        <v>3157900</v>
      </c>
      <c r="G18" s="4">
        <f t="shared" si="0"/>
        <v>1.0526333333333333</v>
      </c>
    </row>
    <row r="19" spans="1:8" ht="12.75" customHeight="1" x14ac:dyDescent="0.15">
      <c r="A19" s="17"/>
      <c r="B19" s="17"/>
      <c r="C19" s="17"/>
      <c r="D19" s="13" t="s">
        <v>69</v>
      </c>
      <c r="E19" s="5">
        <v>300000</v>
      </c>
      <c r="F19" s="3">
        <f>'20240131'!F19</f>
        <v>301000</v>
      </c>
      <c r="G19" s="4">
        <f t="shared" si="0"/>
        <v>1.0033333333333334</v>
      </c>
    </row>
    <row r="20" spans="1:8" ht="12.75" customHeight="1" x14ac:dyDescent="0.15">
      <c r="A20" s="17"/>
      <c r="B20" s="17"/>
      <c r="C20" s="17"/>
      <c r="D20" s="13" t="s">
        <v>68</v>
      </c>
      <c r="E20" s="5"/>
      <c r="F20" s="3">
        <f>'20240131'!F20</f>
        <v>0</v>
      </c>
      <c r="G20" s="4" t="e">
        <f t="shared" si="0"/>
        <v>#DIV/0!</v>
      </c>
    </row>
    <row r="21" spans="1:8" ht="12.75" customHeight="1" x14ac:dyDescent="0.15">
      <c r="A21" s="17"/>
      <c r="B21" s="17"/>
      <c r="C21" s="17"/>
      <c r="D21" s="13" t="s">
        <v>67</v>
      </c>
      <c r="E21" s="23">
        <v>500000</v>
      </c>
      <c r="F21" s="3">
        <f>'20240131'!F21</f>
        <v>497500</v>
      </c>
      <c r="G21" s="4">
        <f t="shared" si="0"/>
        <v>0.995</v>
      </c>
    </row>
    <row r="22" spans="1:8" ht="12.75" customHeight="1" x14ac:dyDescent="0.15">
      <c r="A22" s="17"/>
      <c r="B22" s="17"/>
      <c r="C22" s="17"/>
      <c r="D22" s="13" t="s">
        <v>30</v>
      </c>
      <c r="E22" s="5">
        <f>SUM(E18:E21)</f>
        <v>3800000</v>
      </c>
      <c r="F22" s="5">
        <f>SUM(F18:F21)</f>
        <v>3956400</v>
      </c>
      <c r="G22" s="4">
        <f t="shared" si="0"/>
        <v>1.0411578947368421</v>
      </c>
      <c r="H22" s="12">
        <f>F22-'[1]20210930'!F22</f>
        <v>3590400</v>
      </c>
    </row>
    <row r="23" spans="1:8" ht="12.75" customHeight="1" x14ac:dyDescent="0.15">
      <c r="A23" s="17"/>
      <c r="B23" s="17"/>
      <c r="C23" s="19" t="s">
        <v>66</v>
      </c>
      <c r="D23" s="13" t="s">
        <v>65</v>
      </c>
      <c r="E23" s="5">
        <v>2000000</v>
      </c>
      <c r="F23" s="3">
        <f>'20240131'!F23+121600+56800+99800+93600+159600+70000+150400+40000+129900+169800+99800+67800+151800+159600+159600</f>
        <v>1730100</v>
      </c>
      <c r="G23" s="4">
        <f t="shared" si="0"/>
        <v>0.86504999999999999</v>
      </c>
    </row>
    <row r="24" spans="1:8" ht="12.75" customHeight="1" x14ac:dyDescent="0.15">
      <c r="A24" s="17"/>
      <c r="B24" s="17"/>
      <c r="C24" s="17"/>
      <c r="D24" s="13" t="s">
        <v>64</v>
      </c>
      <c r="E24" s="5"/>
      <c r="F24" s="3">
        <f>'20240131'!F24</f>
        <v>0</v>
      </c>
      <c r="G24" s="4" t="e">
        <f t="shared" si="0"/>
        <v>#DIV/0!</v>
      </c>
    </row>
    <row r="25" spans="1:8" ht="12.75" customHeight="1" x14ac:dyDescent="0.15">
      <c r="A25" s="18"/>
      <c r="B25" s="17"/>
      <c r="C25" s="17"/>
      <c r="D25" s="13" t="s">
        <v>63</v>
      </c>
      <c r="E25" s="5">
        <v>1200000</v>
      </c>
      <c r="F25" s="3">
        <f>'20240131'!F25+25000+60000</f>
        <v>85000</v>
      </c>
      <c r="G25" s="4">
        <f t="shared" si="0"/>
        <v>7.0833333333333331E-2</v>
      </c>
    </row>
    <row r="26" spans="1:8" ht="12.75" customHeight="1" x14ac:dyDescent="0.15">
      <c r="A26" s="17"/>
      <c r="B26" s="17"/>
      <c r="C26" s="17"/>
      <c r="D26" s="13" t="s">
        <v>62</v>
      </c>
      <c r="E26" s="5">
        <v>300000</v>
      </c>
      <c r="F26" s="3">
        <f>'20240131'!F26</f>
        <v>36800</v>
      </c>
      <c r="G26" s="4">
        <f t="shared" si="0"/>
        <v>0.12266666666666666</v>
      </c>
    </row>
    <row r="27" spans="1:8" ht="12.75" customHeight="1" x14ac:dyDescent="0.15">
      <c r="A27" s="17"/>
      <c r="B27" s="17"/>
      <c r="C27" s="17"/>
      <c r="D27" s="13" t="s">
        <v>61</v>
      </c>
      <c r="E27" s="5">
        <v>50000</v>
      </c>
      <c r="F27" s="3">
        <f>'20240131'!F27</f>
        <v>0</v>
      </c>
      <c r="G27" s="4">
        <f t="shared" si="0"/>
        <v>0</v>
      </c>
    </row>
    <row r="28" spans="1:8" ht="12.75" customHeight="1" x14ac:dyDescent="0.15">
      <c r="A28" s="17"/>
      <c r="B28" s="17"/>
      <c r="C28" s="15"/>
      <c r="D28" s="13" t="s">
        <v>17</v>
      </c>
      <c r="E28" s="5">
        <f>SUM(E23:E27)</f>
        <v>3550000</v>
      </c>
      <c r="F28" s="5">
        <f>SUM(F23:F27)</f>
        <v>1851900</v>
      </c>
      <c r="G28" s="4">
        <f t="shared" si="0"/>
        <v>0.52166197183098595</v>
      </c>
      <c r="H28" s="12">
        <f>F28-'[1]20210930'!F28</f>
        <v>-1142967</v>
      </c>
    </row>
    <row r="29" spans="1:8" ht="12.75" customHeight="1" x14ac:dyDescent="0.15">
      <c r="A29" s="17"/>
      <c r="B29" s="17"/>
      <c r="C29" s="19" t="s">
        <v>60</v>
      </c>
      <c r="D29" s="13" t="s">
        <v>59</v>
      </c>
      <c r="E29" s="22">
        <v>50000</v>
      </c>
      <c r="F29" s="3">
        <f>'20240131'!F29</f>
        <v>4800</v>
      </c>
      <c r="G29" s="4">
        <f t="shared" si="0"/>
        <v>9.6000000000000002E-2</v>
      </c>
    </row>
    <row r="30" spans="1:8" ht="12.75" customHeight="1" x14ac:dyDescent="0.15">
      <c r="A30" s="17"/>
      <c r="B30" s="17"/>
      <c r="C30" s="15"/>
      <c r="D30" s="13" t="s">
        <v>17</v>
      </c>
      <c r="E30" s="5">
        <f>SUM(E29)</f>
        <v>50000</v>
      </c>
      <c r="F30" s="5">
        <f>SUM(F29)</f>
        <v>4800</v>
      </c>
      <c r="G30" s="4">
        <f t="shared" si="0"/>
        <v>9.6000000000000002E-2</v>
      </c>
      <c r="H30" s="12">
        <f>F30-'[1]20210930'!F30</f>
        <v>4800</v>
      </c>
    </row>
    <row r="31" spans="1:8" ht="12.75" customHeight="1" x14ac:dyDescent="0.15">
      <c r="A31" s="17"/>
      <c r="B31" s="17"/>
      <c r="C31" s="19" t="s">
        <v>58</v>
      </c>
      <c r="D31" s="21" t="s">
        <v>57</v>
      </c>
      <c r="E31" s="5">
        <v>0</v>
      </c>
      <c r="F31" s="3">
        <f>'20240131'!F31</f>
        <v>0</v>
      </c>
      <c r="G31" s="4" t="e">
        <f t="shared" si="0"/>
        <v>#DIV/0!</v>
      </c>
    </row>
    <row r="32" spans="1:8" ht="12.75" customHeight="1" x14ac:dyDescent="0.15">
      <c r="A32" s="17"/>
      <c r="B32" s="17"/>
      <c r="C32" s="17"/>
      <c r="D32" s="13" t="s">
        <v>56</v>
      </c>
      <c r="E32" s="5">
        <v>50000</v>
      </c>
      <c r="F32" s="3">
        <f>'20240131'!F32</f>
        <v>0</v>
      </c>
      <c r="G32" s="4">
        <f t="shared" si="0"/>
        <v>0</v>
      </c>
    </row>
    <row r="33" spans="1:8" ht="12.75" customHeight="1" x14ac:dyDescent="0.15">
      <c r="A33" s="17"/>
      <c r="B33" s="17"/>
      <c r="C33" s="15"/>
      <c r="D33" s="13" t="s">
        <v>17</v>
      </c>
      <c r="E33" s="5">
        <f>SUM(E31:E32)</f>
        <v>50000</v>
      </c>
      <c r="F33" s="5">
        <f>SUM(F31:F32)</f>
        <v>0</v>
      </c>
      <c r="G33" s="4">
        <f t="shared" si="0"/>
        <v>0</v>
      </c>
      <c r="H33" s="12">
        <f>F33-'[1]20210930'!F33</f>
        <v>0</v>
      </c>
    </row>
    <row r="34" spans="1:8" ht="12.75" customHeight="1" x14ac:dyDescent="0.15">
      <c r="A34" s="17"/>
      <c r="B34" s="17"/>
      <c r="C34" s="19" t="s">
        <v>55</v>
      </c>
      <c r="D34" s="13" t="s">
        <v>54</v>
      </c>
      <c r="E34" s="5">
        <v>200000</v>
      </c>
      <c r="F34" s="3">
        <f>'20240131'!F34</f>
        <v>0</v>
      </c>
      <c r="G34" s="4">
        <f t="shared" si="0"/>
        <v>0</v>
      </c>
    </row>
    <row r="35" spans="1:8" ht="12.75" customHeight="1" x14ac:dyDescent="0.15">
      <c r="A35" s="17"/>
      <c r="B35" s="17"/>
      <c r="C35" s="17"/>
      <c r="D35" s="13" t="s">
        <v>53</v>
      </c>
      <c r="E35" s="5">
        <v>100000</v>
      </c>
      <c r="F35" s="3">
        <f>'20240131'!F35</f>
        <v>50000</v>
      </c>
      <c r="G35" s="4">
        <f t="shared" si="0"/>
        <v>0.5</v>
      </c>
    </row>
    <row r="36" spans="1:8" ht="12.75" customHeight="1" x14ac:dyDescent="0.15">
      <c r="A36" s="18"/>
      <c r="B36" s="17"/>
      <c r="C36" s="17"/>
      <c r="D36" s="13" t="s">
        <v>52</v>
      </c>
      <c r="E36" s="5">
        <v>1180000</v>
      </c>
      <c r="F36" s="3">
        <f>'20240131'!F36+255000</f>
        <v>284000</v>
      </c>
      <c r="G36" s="4">
        <f t="shared" si="0"/>
        <v>0.24067796610169492</v>
      </c>
    </row>
    <row r="37" spans="1:8" ht="12.75" customHeight="1" x14ac:dyDescent="0.15">
      <c r="A37" s="16"/>
      <c r="B37" s="15"/>
      <c r="C37" s="15"/>
      <c r="D37" s="13" t="s">
        <v>17</v>
      </c>
      <c r="E37" s="5">
        <f>SUM(E34:E36)</f>
        <v>1480000</v>
      </c>
      <c r="F37" s="5">
        <f>SUM(F34:F36)</f>
        <v>334000</v>
      </c>
      <c r="G37" s="4">
        <f t="shared" si="0"/>
        <v>0.22567567567567567</v>
      </c>
      <c r="H37" s="12">
        <f>F37-'[1]20210930'!F37</f>
        <v>185100</v>
      </c>
    </row>
    <row r="38" spans="1:8" ht="12.75" customHeight="1" x14ac:dyDescent="0.15">
      <c r="A38" s="20" t="s">
        <v>50</v>
      </c>
      <c r="B38" s="19" t="s">
        <v>49</v>
      </c>
      <c r="C38" s="11" t="s">
        <v>48</v>
      </c>
      <c r="D38" s="13" t="s">
        <v>47</v>
      </c>
      <c r="E38" s="5">
        <v>2500000</v>
      </c>
      <c r="F38" s="3">
        <f>'20240131'!F38+200000+156000+150000+57300+38610+141000+212000+73000+235000+74000+240000+127500+199000+84000</f>
        <v>3640810</v>
      </c>
      <c r="G38" s="4">
        <f t="shared" si="0"/>
        <v>1.456324</v>
      </c>
    </row>
    <row r="39" spans="1:8" ht="12.75" customHeight="1" x14ac:dyDescent="0.15">
      <c r="A39" s="18"/>
      <c r="B39" s="17"/>
      <c r="C39" s="11"/>
      <c r="D39" s="13" t="s">
        <v>30</v>
      </c>
      <c r="E39" s="5">
        <f>SUM(E38:E38)</f>
        <v>2500000</v>
      </c>
      <c r="F39" s="5">
        <f>SUM(F38)</f>
        <v>3640810</v>
      </c>
      <c r="G39" s="4">
        <f t="shared" si="0"/>
        <v>1.456324</v>
      </c>
      <c r="H39" s="12">
        <f>F39-'[1]20210930'!F39</f>
        <v>1218810</v>
      </c>
    </row>
    <row r="40" spans="1:8" ht="12.75" customHeight="1" x14ac:dyDescent="0.15">
      <c r="A40" s="18"/>
      <c r="B40" s="17"/>
      <c r="C40" s="11" t="s">
        <v>46</v>
      </c>
      <c r="D40" s="13" t="s">
        <v>45</v>
      </c>
      <c r="E40" s="5">
        <v>0</v>
      </c>
      <c r="F40" s="3">
        <f>'20240131'!F40</f>
        <v>0</v>
      </c>
      <c r="G40" s="4" t="e">
        <f t="shared" si="0"/>
        <v>#DIV/0!</v>
      </c>
    </row>
    <row r="41" spans="1:8" ht="12.75" customHeight="1" x14ac:dyDescent="0.15">
      <c r="A41" s="18"/>
      <c r="B41" s="17"/>
      <c r="C41" s="19"/>
      <c r="D41" s="13" t="s">
        <v>17</v>
      </c>
      <c r="E41" s="5">
        <f>SUM(E40)</f>
        <v>0</v>
      </c>
      <c r="F41" s="5">
        <f>SUM(F40)</f>
        <v>0</v>
      </c>
      <c r="G41" s="4" t="e">
        <f t="shared" si="0"/>
        <v>#DIV/0!</v>
      </c>
      <c r="H41" s="12">
        <f>F41-'[1]20210831'!F41</f>
        <v>0</v>
      </c>
    </row>
    <row r="42" spans="1:8" ht="12.75" customHeight="1" x14ac:dyDescent="0.15">
      <c r="A42" s="18"/>
      <c r="B42" s="17"/>
      <c r="C42" s="19" t="s">
        <v>44</v>
      </c>
      <c r="D42" s="13" t="s">
        <v>43</v>
      </c>
      <c r="E42" s="5">
        <v>0</v>
      </c>
      <c r="F42" s="3">
        <f>'20240131'!F42</f>
        <v>0</v>
      </c>
      <c r="G42" s="4" t="e">
        <f t="shared" si="0"/>
        <v>#DIV/0!</v>
      </c>
    </row>
    <row r="43" spans="1:8" ht="12.75" customHeight="1" x14ac:dyDescent="0.15">
      <c r="A43" s="18"/>
      <c r="B43" s="17"/>
      <c r="C43" s="17"/>
      <c r="D43" s="13" t="s">
        <v>42</v>
      </c>
      <c r="E43" s="5">
        <v>0</v>
      </c>
      <c r="F43" s="3">
        <f>'20240131'!F43</f>
        <v>0</v>
      </c>
      <c r="G43" s="4" t="e">
        <f t="shared" si="0"/>
        <v>#DIV/0!</v>
      </c>
    </row>
    <row r="44" spans="1:8" ht="12.75" customHeight="1" x14ac:dyDescent="0.15">
      <c r="A44" s="18"/>
      <c r="B44" s="17"/>
      <c r="C44" s="17"/>
      <c r="D44" s="13" t="s">
        <v>41</v>
      </c>
      <c r="E44" s="5">
        <v>0</v>
      </c>
      <c r="F44" s="3">
        <f>'20240131'!F44</f>
        <v>0</v>
      </c>
      <c r="G44" s="4" t="e">
        <f t="shared" si="0"/>
        <v>#DIV/0!</v>
      </c>
    </row>
    <row r="45" spans="1:8" ht="12.75" customHeight="1" x14ac:dyDescent="0.15">
      <c r="A45" s="18"/>
      <c r="B45" s="17"/>
      <c r="C45" s="17"/>
      <c r="D45" s="13" t="s">
        <v>40</v>
      </c>
      <c r="E45" s="5">
        <v>2000000</v>
      </c>
      <c r="F45" s="3">
        <f>'20240131'!F45</f>
        <v>1866540</v>
      </c>
      <c r="G45" s="4">
        <f t="shared" si="0"/>
        <v>0.93327000000000004</v>
      </c>
      <c r="H45" s="12">
        <f>F45-'[1]20210930'!F45</f>
        <v>689940</v>
      </c>
    </row>
    <row r="46" spans="1:8" ht="12.75" customHeight="1" x14ac:dyDescent="0.15">
      <c r="A46" s="18"/>
      <c r="B46" s="17"/>
      <c r="C46" s="17"/>
      <c r="D46" s="13" t="s">
        <v>39</v>
      </c>
      <c r="E46" s="5">
        <v>2000000</v>
      </c>
      <c r="F46" s="3">
        <f>'20240131'!F46</f>
        <v>0</v>
      </c>
      <c r="G46" s="4">
        <f t="shared" si="0"/>
        <v>0</v>
      </c>
    </row>
    <row r="47" spans="1:8" ht="12.75" customHeight="1" x14ac:dyDescent="0.15">
      <c r="A47" s="18"/>
      <c r="B47" s="17"/>
      <c r="C47" s="11" t="s">
        <v>38</v>
      </c>
      <c r="D47" s="13" t="s">
        <v>109</v>
      </c>
      <c r="E47" s="5">
        <v>400000</v>
      </c>
      <c r="F47" s="3">
        <f>'20240131'!F47</f>
        <v>0</v>
      </c>
      <c r="G47" s="4">
        <f t="shared" si="0"/>
        <v>0</v>
      </c>
    </row>
    <row r="48" spans="1:8" ht="12.75" customHeight="1" x14ac:dyDescent="0.15">
      <c r="A48" s="18"/>
      <c r="B48" s="17"/>
      <c r="C48" s="17"/>
      <c r="D48" s="13" t="s">
        <v>30</v>
      </c>
      <c r="E48" s="5">
        <f>SUM(E42:E47)</f>
        <v>4400000</v>
      </c>
      <c r="F48" s="5">
        <f>SUM(F42:F47)</f>
        <v>1866540</v>
      </c>
      <c r="G48" s="4">
        <f t="shared" si="0"/>
        <v>0.42421363636363635</v>
      </c>
      <c r="H48" s="12">
        <f>F48-'[1]20210930'!F47</f>
        <v>689940</v>
      </c>
    </row>
    <row r="49" spans="1:8" ht="12.75" customHeight="1" x14ac:dyDescent="0.15">
      <c r="A49" s="18"/>
      <c r="B49" s="19" t="s">
        <v>37</v>
      </c>
      <c r="C49" s="19" t="s">
        <v>36</v>
      </c>
      <c r="D49" s="13" t="s">
        <v>35</v>
      </c>
      <c r="E49" s="5">
        <v>1000000</v>
      </c>
      <c r="F49" s="3">
        <f>'20240131'!F49+77000+56000+25000+18000+33000+89800+53000</f>
        <v>798600</v>
      </c>
      <c r="G49" s="4">
        <f t="shared" si="0"/>
        <v>0.79859999999999998</v>
      </c>
      <c r="H49" s="12">
        <f>E49-F49</f>
        <v>201400</v>
      </c>
    </row>
    <row r="50" spans="1:8" ht="12.75" customHeight="1" x14ac:dyDescent="0.15">
      <c r="A50" s="18"/>
      <c r="B50" s="17"/>
      <c r="C50" s="17"/>
      <c r="D50" s="13" t="s">
        <v>34</v>
      </c>
      <c r="E50" s="5">
        <v>800000</v>
      </c>
      <c r="F50" s="3">
        <f>'20240131'!F50+36500+100000+13600</f>
        <v>408100</v>
      </c>
      <c r="G50" s="4">
        <f t="shared" si="0"/>
        <v>0.51012500000000005</v>
      </c>
      <c r="H50" s="12">
        <f>E50-F50</f>
        <v>391900</v>
      </c>
    </row>
    <row r="51" spans="1:8" ht="12.75" customHeight="1" x14ac:dyDescent="0.15">
      <c r="A51" s="18"/>
      <c r="B51" s="17"/>
      <c r="C51" s="17"/>
      <c r="D51" s="13" t="s">
        <v>33</v>
      </c>
      <c r="E51" s="5">
        <v>2750000</v>
      </c>
      <c r="F51" s="3">
        <f>'20240131'!F51</f>
        <v>0</v>
      </c>
      <c r="G51" s="4">
        <f t="shared" si="0"/>
        <v>0</v>
      </c>
    </row>
    <row r="52" spans="1:8" ht="12.75" customHeight="1" x14ac:dyDescent="0.15">
      <c r="A52" s="18"/>
      <c r="B52" s="17"/>
      <c r="C52" s="15"/>
      <c r="D52" s="13" t="s">
        <v>17</v>
      </c>
      <c r="E52" s="5">
        <f>SUM(E49:E51)</f>
        <v>4550000</v>
      </c>
      <c r="F52" s="5">
        <f>SUM(F49:F51)</f>
        <v>1206700</v>
      </c>
      <c r="G52" s="4">
        <f t="shared" si="0"/>
        <v>0.26520879120879121</v>
      </c>
      <c r="H52" s="12">
        <f t="shared" ref="H52:H62" si="1">E52-F52</f>
        <v>3343300</v>
      </c>
    </row>
    <row r="53" spans="1:8" ht="12.75" customHeight="1" x14ac:dyDescent="0.15">
      <c r="A53" s="18"/>
      <c r="B53" s="17"/>
      <c r="C53" s="19" t="s">
        <v>32</v>
      </c>
      <c r="D53" s="13" t="s">
        <v>31</v>
      </c>
      <c r="E53" s="5">
        <v>400000</v>
      </c>
      <c r="F53" s="3">
        <f>'20240131'!F53</f>
        <v>325000</v>
      </c>
      <c r="G53" s="4">
        <f t="shared" si="0"/>
        <v>0.8125</v>
      </c>
      <c r="H53" s="12">
        <f t="shared" si="1"/>
        <v>75000</v>
      </c>
    </row>
    <row r="54" spans="1:8" ht="12.75" customHeight="1" x14ac:dyDescent="0.15">
      <c r="A54" s="18"/>
      <c r="B54" s="17"/>
      <c r="C54" s="15"/>
      <c r="D54" s="13" t="s">
        <v>30</v>
      </c>
      <c r="E54" s="5">
        <f>SUM(E53)</f>
        <v>400000</v>
      </c>
      <c r="F54" s="5">
        <f>SUM(F53)</f>
        <v>325000</v>
      </c>
      <c r="G54" s="4">
        <f t="shared" si="0"/>
        <v>0.8125</v>
      </c>
      <c r="H54" s="12">
        <f t="shared" si="1"/>
        <v>75000</v>
      </c>
    </row>
    <row r="55" spans="1:8" ht="12.75" customHeight="1" x14ac:dyDescent="0.15">
      <c r="A55" s="18"/>
      <c r="B55" s="17"/>
      <c r="C55" s="19" t="s">
        <v>29</v>
      </c>
      <c r="D55" s="13" t="s">
        <v>28</v>
      </c>
      <c r="E55" s="5">
        <v>2000000</v>
      </c>
      <c r="F55" s="3">
        <f>'20240131'!F55</f>
        <v>300000</v>
      </c>
      <c r="G55" s="4">
        <f t="shared" si="0"/>
        <v>0.15</v>
      </c>
      <c r="H55" s="12">
        <f t="shared" si="1"/>
        <v>1700000</v>
      </c>
    </row>
    <row r="56" spans="1:8" ht="12.75" customHeight="1" x14ac:dyDescent="0.15">
      <c r="A56" s="18"/>
      <c r="B56" s="17"/>
      <c r="C56" s="17"/>
      <c r="D56" s="13" t="s">
        <v>27</v>
      </c>
      <c r="E56" s="5">
        <v>2000000</v>
      </c>
      <c r="F56" s="3">
        <f>'20240131'!F56+500000+100000+100000</f>
        <v>800000</v>
      </c>
      <c r="G56" s="4">
        <f t="shared" si="0"/>
        <v>0.4</v>
      </c>
      <c r="H56" s="12">
        <f t="shared" si="1"/>
        <v>1200000</v>
      </c>
    </row>
    <row r="57" spans="1:8" ht="12.75" customHeight="1" x14ac:dyDescent="0.15">
      <c r="A57" s="17"/>
      <c r="B57" s="17"/>
      <c r="C57" s="17"/>
      <c r="D57" s="13" t="s">
        <v>26</v>
      </c>
      <c r="E57" s="5">
        <v>300000</v>
      </c>
      <c r="F57" s="3">
        <f>'20240131'!F57+99000</f>
        <v>289000</v>
      </c>
      <c r="G57" s="4">
        <f t="shared" si="0"/>
        <v>0.96333333333333337</v>
      </c>
      <c r="H57" s="12">
        <f t="shared" si="1"/>
        <v>11000</v>
      </c>
    </row>
    <row r="58" spans="1:8" ht="12.75" customHeight="1" x14ac:dyDescent="0.15">
      <c r="A58" s="17"/>
      <c r="B58" s="17"/>
      <c r="C58" s="17"/>
      <c r="D58" s="13" t="s">
        <v>25</v>
      </c>
      <c r="E58" s="5">
        <v>0</v>
      </c>
      <c r="F58" s="3">
        <f>'20240131'!F58</f>
        <v>0</v>
      </c>
      <c r="G58" s="4" t="e">
        <f t="shared" si="0"/>
        <v>#DIV/0!</v>
      </c>
      <c r="H58" s="12">
        <f t="shared" si="1"/>
        <v>0</v>
      </c>
    </row>
    <row r="59" spans="1:8" ht="12.75" customHeight="1" x14ac:dyDescent="0.15">
      <c r="A59" s="18"/>
      <c r="B59" s="17"/>
      <c r="C59" s="17"/>
      <c r="D59" s="14" t="s">
        <v>24</v>
      </c>
      <c r="E59" s="5">
        <v>1000000</v>
      </c>
      <c r="F59" s="3">
        <f>'20240131'!F59</f>
        <v>100000</v>
      </c>
      <c r="G59" s="4">
        <f t="shared" si="0"/>
        <v>0.1</v>
      </c>
      <c r="H59" s="12">
        <f t="shared" si="1"/>
        <v>900000</v>
      </c>
    </row>
    <row r="60" spans="1:8" ht="12.75" customHeight="1" x14ac:dyDescent="0.15">
      <c r="A60" s="16"/>
      <c r="B60" s="15"/>
      <c r="C60" s="15"/>
      <c r="D60" s="14" t="s">
        <v>23</v>
      </c>
      <c r="E60" s="5">
        <v>1000000</v>
      </c>
      <c r="F60" s="3">
        <f>'20240131'!F60+54000+54000+54000+54000+54000</f>
        <v>324000</v>
      </c>
      <c r="G60" s="4">
        <f t="shared" si="0"/>
        <v>0.32400000000000001</v>
      </c>
      <c r="H60" s="12">
        <f t="shared" si="1"/>
        <v>676000</v>
      </c>
    </row>
    <row r="61" spans="1:8" ht="12.75" customHeight="1" x14ac:dyDescent="0.15">
      <c r="A61" s="16"/>
      <c r="B61" s="15"/>
      <c r="C61" s="15"/>
      <c r="D61" s="14" t="s">
        <v>17</v>
      </c>
      <c r="E61" s="5">
        <f>SUM(E55:E60)</f>
        <v>6300000</v>
      </c>
      <c r="F61" s="5">
        <f>SUM(F55:F60)</f>
        <v>1813000</v>
      </c>
      <c r="G61" s="4">
        <f t="shared" si="0"/>
        <v>0.2877777777777778</v>
      </c>
      <c r="H61" s="12">
        <f t="shared" si="1"/>
        <v>4487000</v>
      </c>
    </row>
    <row r="62" spans="1:8" ht="12.75" customHeight="1" x14ac:dyDescent="0.15">
      <c r="A62" s="45" t="s">
        <v>22</v>
      </c>
      <c r="B62" s="48" t="s">
        <v>21</v>
      </c>
      <c r="C62" s="49"/>
      <c r="D62" s="13" t="s">
        <v>20</v>
      </c>
      <c r="E62" s="5">
        <v>400000</v>
      </c>
      <c r="F62" s="5">
        <f>'20240131'!F62</f>
        <v>0</v>
      </c>
      <c r="G62" s="4">
        <f t="shared" si="0"/>
        <v>0</v>
      </c>
      <c r="H62" s="12">
        <f t="shared" si="1"/>
        <v>400000</v>
      </c>
    </row>
    <row r="63" spans="1:8" ht="12.75" customHeight="1" x14ac:dyDescent="0.15">
      <c r="A63" s="46"/>
      <c r="B63" s="48" t="s">
        <v>19</v>
      </c>
      <c r="C63" s="49"/>
      <c r="D63" s="13" t="s">
        <v>18</v>
      </c>
      <c r="E63" s="5">
        <v>800000</v>
      </c>
      <c r="F63" s="5">
        <f>'20240131'!F63</f>
        <v>0</v>
      </c>
      <c r="G63" s="4">
        <f t="shared" si="0"/>
        <v>0</v>
      </c>
    </row>
    <row r="64" spans="1:8" ht="12.75" customHeight="1" x14ac:dyDescent="0.15">
      <c r="A64" s="47"/>
      <c r="B64" s="50"/>
      <c r="C64" s="51"/>
      <c r="D64" s="13" t="s">
        <v>17</v>
      </c>
      <c r="E64" s="5">
        <f>SUM(E62:E63)</f>
        <v>1200000</v>
      </c>
      <c r="F64" s="5">
        <f>SUM(F62:F63)</f>
        <v>0</v>
      </c>
      <c r="G64" s="4">
        <f t="shared" si="0"/>
        <v>0</v>
      </c>
      <c r="H64" s="12">
        <f>F64-'[1]20210930'!F63</f>
        <v>-1500000</v>
      </c>
    </row>
    <row r="65" spans="1:7" ht="12.75" customHeight="1" x14ac:dyDescent="0.15">
      <c r="A65" s="11" t="s">
        <v>15</v>
      </c>
      <c r="B65" s="11" t="s">
        <v>15</v>
      </c>
      <c r="C65" s="11" t="s">
        <v>15</v>
      </c>
      <c r="D65" s="5" t="s">
        <v>14</v>
      </c>
      <c r="E65" s="5"/>
      <c r="F65" s="5">
        <v>0</v>
      </c>
      <c r="G65" s="4" t="e">
        <f t="shared" si="0"/>
        <v>#DIV/0!</v>
      </c>
    </row>
    <row r="66" spans="1:7" ht="12.75" customHeight="1" x14ac:dyDescent="0.15">
      <c r="A66" s="11" t="s">
        <v>13</v>
      </c>
      <c r="B66" s="11" t="s">
        <v>12</v>
      </c>
      <c r="C66" s="11" t="s">
        <v>11</v>
      </c>
      <c r="D66" s="5" t="s">
        <v>10</v>
      </c>
      <c r="E66" s="5">
        <v>0</v>
      </c>
      <c r="F66" s="5">
        <v>0</v>
      </c>
      <c r="G66" s="10"/>
    </row>
    <row r="67" spans="1:7" ht="12.75" customHeight="1" x14ac:dyDescent="0.15">
      <c r="A67" s="52" t="s">
        <v>9</v>
      </c>
      <c r="B67" s="52"/>
      <c r="C67" s="52"/>
      <c r="D67" s="5"/>
      <c r="E67" s="5">
        <f>E17+E22+E28++E30+E33+E37+E39+E41+E48+E52+E54+E61+E64+E65</f>
        <v>31880000</v>
      </c>
      <c r="F67" s="5">
        <f>F17+F22+F28+F30+F33+F37+F39+F41+F48+F52+F54+F61+F64+F65</f>
        <v>16999150</v>
      </c>
      <c r="G67" s="4">
        <f>F67/E67</f>
        <v>0.53322302383939779</v>
      </c>
    </row>
    <row r="68" spans="1:7" ht="12.75" customHeight="1" x14ac:dyDescent="0.15"/>
    <row r="69" spans="1:7" ht="12.75" customHeight="1" x14ac:dyDescent="0.15">
      <c r="A69" s="1" t="s">
        <v>104</v>
      </c>
    </row>
    <row r="70" spans="1:7" ht="12.75" customHeight="1" x14ac:dyDescent="0.15">
      <c r="A70" s="53" t="s">
        <v>8</v>
      </c>
      <c r="B70" s="42" t="s">
        <v>7</v>
      </c>
      <c r="C70" s="43"/>
      <c r="D70" s="42" t="s">
        <v>6</v>
      </c>
      <c r="E70" s="43"/>
      <c r="F70" s="44" t="s">
        <v>5</v>
      </c>
      <c r="G70" s="44"/>
    </row>
    <row r="71" spans="1:7" ht="12.75" customHeight="1" x14ac:dyDescent="0.15">
      <c r="A71" s="53"/>
      <c r="B71" s="9" t="s">
        <v>4</v>
      </c>
      <c r="C71" s="9" t="s">
        <v>3</v>
      </c>
      <c r="D71" s="9" t="s">
        <v>2</v>
      </c>
      <c r="E71" s="9" t="s">
        <v>1</v>
      </c>
      <c r="F71" s="9" t="s">
        <v>0</v>
      </c>
      <c r="G71" s="7"/>
    </row>
    <row r="72" spans="1:7" ht="12.75" customHeight="1" x14ac:dyDescent="0.15">
      <c r="A72" s="6">
        <f>E9</f>
        <v>31880000</v>
      </c>
      <c r="B72" s="5">
        <f>+F9</f>
        <v>21386254</v>
      </c>
      <c r="C72" s="4">
        <f>+G9</f>
        <v>0.67083607277289836</v>
      </c>
      <c r="D72" s="3">
        <f>+F67</f>
        <v>16999150</v>
      </c>
      <c r="E72" s="4">
        <f>+G67</f>
        <v>0.53322302383939779</v>
      </c>
      <c r="F72" s="3">
        <f>B72-D72</f>
        <v>4387104</v>
      </c>
      <c r="G72" s="2"/>
    </row>
  </sheetData>
  <mergeCells count="14">
    <mergeCell ref="A67:C67"/>
    <mergeCell ref="A70:A71"/>
    <mergeCell ref="B70:C70"/>
    <mergeCell ref="D70:E70"/>
    <mergeCell ref="F70:G70"/>
    <mergeCell ref="A62:A64"/>
    <mergeCell ref="B62:C62"/>
    <mergeCell ref="B63:C63"/>
    <mergeCell ref="B64:C64"/>
    <mergeCell ref="A1:G1"/>
    <mergeCell ref="A5:A8"/>
    <mergeCell ref="B6:B7"/>
    <mergeCell ref="C6:C7"/>
    <mergeCell ref="A9:C9"/>
  </mergeCells>
  <phoneticPr fontId="3" type="noConversion"/>
  <printOptions horizontalCentered="1"/>
  <pageMargins left="0.39370078740157483" right="0.35433070866141736" top="0.6692913385826772" bottom="0.19685039370078741" header="0.19685039370078741" footer="0.15748031496062992"/>
  <pageSetup paperSize="9" scale="8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view="pageBreakPreview" topLeftCell="A29" zoomScaleNormal="100" workbookViewId="0">
      <selection activeCell="D52" sqref="D52"/>
    </sheetView>
  </sheetViews>
  <sheetFormatPr defaultRowHeight="11.25" x14ac:dyDescent="0.15"/>
  <cols>
    <col min="1" max="1" width="8.6640625" style="1" bestFit="1" customWidth="1"/>
    <col min="2" max="2" width="10.44140625" style="1" customWidth="1"/>
    <col min="3" max="3" width="15.6640625" style="1" bestFit="1" customWidth="1"/>
    <col min="4" max="4" width="21.6640625" style="1" bestFit="1" customWidth="1"/>
    <col min="5" max="5" width="10.88671875" style="1" customWidth="1"/>
    <col min="6" max="6" width="12.5546875" style="1" bestFit="1" customWidth="1"/>
    <col min="7" max="7" width="8.77734375" style="1" customWidth="1"/>
    <col min="8" max="8" width="8.88671875" style="1" hidden="1" customWidth="1"/>
    <col min="9" max="16384" width="8.88671875" style="1"/>
  </cols>
  <sheetData>
    <row r="1" spans="1:7" ht="25.5" x14ac:dyDescent="0.15">
      <c r="A1" s="54" t="s">
        <v>101</v>
      </c>
      <c r="B1" s="54"/>
      <c r="C1" s="54"/>
      <c r="D1" s="54"/>
      <c r="E1" s="54"/>
      <c r="F1" s="54"/>
      <c r="G1" s="54"/>
    </row>
    <row r="2" spans="1:7" x14ac:dyDescent="0.15">
      <c r="F2" s="12">
        <f>F8-E8</f>
        <v>0</v>
      </c>
    </row>
    <row r="3" spans="1:7" ht="12.75" customHeight="1" x14ac:dyDescent="0.15">
      <c r="A3" s="1" t="s">
        <v>100</v>
      </c>
    </row>
    <row r="4" spans="1:7" ht="12.75" customHeight="1" x14ac:dyDescent="0.15">
      <c r="A4" s="27" t="s">
        <v>87</v>
      </c>
      <c r="B4" s="27" t="s">
        <v>86</v>
      </c>
      <c r="C4" s="27" t="s">
        <v>85</v>
      </c>
      <c r="D4" s="27" t="s">
        <v>99</v>
      </c>
      <c r="E4" s="27" t="s">
        <v>83</v>
      </c>
      <c r="F4" s="26" t="s">
        <v>98</v>
      </c>
      <c r="G4" s="26" t="s">
        <v>3</v>
      </c>
    </row>
    <row r="5" spans="1:7" ht="12" customHeight="1" x14ac:dyDescent="0.15">
      <c r="A5" s="55" t="s">
        <v>97</v>
      </c>
      <c r="B5" s="36" t="s">
        <v>96</v>
      </c>
      <c r="C5" s="36" t="s">
        <v>95</v>
      </c>
      <c r="D5" s="35" t="s">
        <v>94</v>
      </c>
      <c r="E5" s="34">
        <v>21200000</v>
      </c>
      <c r="F5" s="3">
        <v>5344580</v>
      </c>
      <c r="G5" s="4">
        <f>F5/E5</f>
        <v>0.25210283018867924</v>
      </c>
    </row>
    <row r="6" spans="1:7" ht="12" customHeight="1" x14ac:dyDescent="0.15">
      <c r="A6" s="55"/>
      <c r="B6" s="56" t="s">
        <v>93</v>
      </c>
      <c r="C6" s="56" t="s">
        <v>92</v>
      </c>
      <c r="D6" s="32" t="s">
        <v>91</v>
      </c>
      <c r="E6" s="34">
        <v>10672948</v>
      </c>
      <c r="F6" s="3">
        <v>10672948</v>
      </c>
      <c r="G6" s="4"/>
    </row>
    <row r="7" spans="1:7" ht="12.75" customHeight="1" x14ac:dyDescent="0.15">
      <c r="A7" s="55"/>
      <c r="B7" s="57"/>
      <c r="C7" s="57"/>
      <c r="D7" s="32" t="s">
        <v>90</v>
      </c>
      <c r="E7" s="31">
        <v>7052</v>
      </c>
      <c r="F7" s="3">
        <v>5128</v>
      </c>
      <c r="G7" s="4">
        <f>F7/E7</f>
        <v>0.72716959727736807</v>
      </c>
    </row>
    <row r="8" spans="1:7" ht="12.75" customHeight="1" x14ac:dyDescent="0.15">
      <c r="A8" s="55"/>
      <c r="B8" s="33" t="s">
        <v>16</v>
      </c>
      <c r="C8" s="33" t="s">
        <v>16</v>
      </c>
      <c r="D8" s="32" t="s">
        <v>14</v>
      </c>
      <c r="E8" s="31">
        <v>0</v>
      </c>
      <c r="F8" s="3">
        <f>'[2]20231130'!F8</f>
        <v>0</v>
      </c>
      <c r="G8" s="4" t="e">
        <f>F8/E8</f>
        <v>#DIV/0!</v>
      </c>
    </row>
    <row r="9" spans="1:7" ht="12.75" customHeight="1" x14ac:dyDescent="0.15">
      <c r="A9" s="58" t="s">
        <v>89</v>
      </c>
      <c r="B9" s="59"/>
      <c r="C9" s="60"/>
      <c r="D9" s="30"/>
      <c r="E9" s="29">
        <f>SUM(E5:E8)</f>
        <v>31880000</v>
      </c>
      <c r="F9" s="29">
        <f>SUM(F5:F8)</f>
        <v>16022656</v>
      </c>
      <c r="G9" s="4">
        <f>F9/E9</f>
        <v>0.50259272271016309</v>
      </c>
    </row>
    <row r="10" spans="1:7" ht="12.75" customHeight="1" x14ac:dyDescent="0.15">
      <c r="A10" s="28"/>
      <c r="B10" s="28"/>
      <c r="C10" s="28"/>
      <c r="D10" s="28"/>
    </row>
    <row r="11" spans="1:7" ht="12.75" customHeight="1" x14ac:dyDescent="0.15"/>
    <row r="12" spans="1:7" ht="12.75" customHeight="1" x14ac:dyDescent="0.15">
      <c r="A12" s="1" t="s">
        <v>88</v>
      </c>
    </row>
    <row r="13" spans="1:7" ht="12.75" customHeight="1" x14ac:dyDescent="0.15">
      <c r="A13" s="27" t="s">
        <v>87</v>
      </c>
      <c r="B13" s="27" t="s">
        <v>86</v>
      </c>
      <c r="C13" s="27" t="s">
        <v>85</v>
      </c>
      <c r="D13" s="27" t="s">
        <v>84</v>
      </c>
      <c r="E13" s="27" t="s">
        <v>83</v>
      </c>
      <c r="F13" s="26" t="s">
        <v>82</v>
      </c>
      <c r="G13" s="26" t="s">
        <v>1</v>
      </c>
    </row>
    <row r="14" spans="1:7" ht="12.75" customHeight="1" x14ac:dyDescent="0.15">
      <c r="A14" s="20" t="s">
        <v>81</v>
      </c>
      <c r="B14" s="20" t="s">
        <v>80</v>
      </c>
      <c r="C14" s="25" t="s">
        <v>79</v>
      </c>
      <c r="D14" s="5" t="s">
        <v>78</v>
      </c>
      <c r="E14" s="5">
        <v>1200000</v>
      </c>
      <c r="F14" s="3">
        <v>0</v>
      </c>
      <c r="G14" s="4">
        <f t="shared" ref="G14:G45" si="0">F14/E14</f>
        <v>0</v>
      </c>
    </row>
    <row r="15" spans="1:7" ht="12.75" customHeight="1" x14ac:dyDescent="0.15">
      <c r="A15" s="18"/>
      <c r="B15" s="18"/>
      <c r="C15" s="25" t="s">
        <v>77</v>
      </c>
      <c r="D15" s="24" t="s">
        <v>76</v>
      </c>
      <c r="E15" s="24">
        <v>400000</v>
      </c>
      <c r="F15" s="3">
        <v>0</v>
      </c>
      <c r="G15" s="4">
        <f t="shared" si="0"/>
        <v>0</v>
      </c>
    </row>
    <row r="16" spans="1:7" ht="12.75" customHeight="1" x14ac:dyDescent="0.15">
      <c r="A16" s="18"/>
      <c r="B16" s="18"/>
      <c r="C16" s="25" t="s">
        <v>75</v>
      </c>
      <c r="D16" s="5" t="s">
        <v>74</v>
      </c>
      <c r="E16" s="24">
        <v>2000000</v>
      </c>
      <c r="F16" s="3">
        <v>2000000</v>
      </c>
      <c r="G16" s="4">
        <f t="shared" si="0"/>
        <v>1</v>
      </c>
    </row>
    <row r="17" spans="1:8" ht="12.75" customHeight="1" x14ac:dyDescent="0.15">
      <c r="A17" s="18"/>
      <c r="B17" s="18"/>
      <c r="C17" s="20"/>
      <c r="D17" s="5" t="s">
        <v>17</v>
      </c>
      <c r="E17" s="5">
        <f>SUM(E14:E16)</f>
        <v>3600000</v>
      </c>
      <c r="F17" s="5">
        <f>SUM(F14:F16)</f>
        <v>2000000</v>
      </c>
      <c r="G17" s="4">
        <f t="shared" si="0"/>
        <v>0.55555555555555558</v>
      </c>
      <c r="H17" s="12">
        <f>F17-'[1]20210930'!F16</f>
        <v>-600000</v>
      </c>
    </row>
    <row r="18" spans="1:8" ht="12.75" customHeight="1" x14ac:dyDescent="0.15">
      <c r="A18" s="19" t="s">
        <v>73</v>
      </c>
      <c r="B18" s="19" t="s">
        <v>72</v>
      </c>
      <c r="C18" s="19" t="s">
        <v>71</v>
      </c>
      <c r="D18" s="13" t="s">
        <v>70</v>
      </c>
      <c r="E18" s="5">
        <v>3000000</v>
      </c>
      <c r="F18" s="3">
        <f>118000+1270000</f>
        <v>1388000</v>
      </c>
      <c r="G18" s="4">
        <f t="shared" si="0"/>
        <v>0.46266666666666667</v>
      </c>
    </row>
    <row r="19" spans="1:8" ht="12.75" customHeight="1" x14ac:dyDescent="0.15">
      <c r="A19" s="17"/>
      <c r="B19" s="17"/>
      <c r="C19" s="17"/>
      <c r="D19" s="13" t="s">
        <v>69</v>
      </c>
      <c r="E19" s="5">
        <v>300000</v>
      </c>
      <c r="F19" s="3">
        <v>301000</v>
      </c>
      <c r="G19" s="4">
        <f t="shared" si="0"/>
        <v>1.0033333333333334</v>
      </c>
    </row>
    <row r="20" spans="1:8" ht="12.75" customHeight="1" x14ac:dyDescent="0.15">
      <c r="A20" s="17"/>
      <c r="B20" s="17"/>
      <c r="C20" s="17"/>
      <c r="D20" s="13" t="s">
        <v>68</v>
      </c>
      <c r="E20" s="5"/>
      <c r="F20" s="3"/>
      <c r="G20" s="4" t="e">
        <f t="shared" si="0"/>
        <v>#DIV/0!</v>
      </c>
    </row>
    <row r="21" spans="1:8" ht="12.75" customHeight="1" x14ac:dyDescent="0.15">
      <c r="A21" s="17"/>
      <c r="B21" s="17"/>
      <c r="C21" s="17"/>
      <c r="D21" s="13" t="s">
        <v>67</v>
      </c>
      <c r="E21" s="23">
        <v>500000</v>
      </c>
      <c r="F21" s="3">
        <f>76000+209000+168000+44500</f>
        <v>497500</v>
      </c>
      <c r="G21" s="4">
        <f t="shared" si="0"/>
        <v>0.995</v>
      </c>
    </row>
    <row r="22" spans="1:8" ht="12.75" customHeight="1" x14ac:dyDescent="0.15">
      <c r="A22" s="17"/>
      <c r="B22" s="17"/>
      <c r="C22" s="17"/>
      <c r="D22" s="13" t="s">
        <v>30</v>
      </c>
      <c r="E22" s="5">
        <f>SUM(E18:E21)</f>
        <v>3800000</v>
      </c>
      <c r="F22" s="5">
        <f>SUM(F18:F21)</f>
        <v>2186500</v>
      </c>
      <c r="G22" s="4">
        <f t="shared" si="0"/>
        <v>0.57539473684210529</v>
      </c>
      <c r="H22" s="12">
        <f>F22-'[1]20210930'!F22</f>
        <v>1820500</v>
      </c>
    </row>
    <row r="23" spans="1:8" ht="12.75" customHeight="1" x14ac:dyDescent="0.15">
      <c r="A23" s="17"/>
      <c r="B23" s="17"/>
      <c r="C23" s="19" t="s">
        <v>66</v>
      </c>
      <c r="D23" s="13" t="s">
        <v>65</v>
      </c>
      <c r="E23" s="5">
        <v>2000000</v>
      </c>
      <c r="F23" s="3"/>
      <c r="G23" s="4">
        <f t="shared" si="0"/>
        <v>0</v>
      </c>
    </row>
    <row r="24" spans="1:8" ht="12.75" customHeight="1" x14ac:dyDescent="0.15">
      <c r="A24" s="17"/>
      <c r="B24" s="17"/>
      <c r="C24" s="17"/>
      <c r="D24" s="13" t="s">
        <v>64</v>
      </c>
      <c r="E24" s="5"/>
      <c r="F24" s="3"/>
      <c r="G24" s="4" t="e">
        <f t="shared" si="0"/>
        <v>#DIV/0!</v>
      </c>
    </row>
    <row r="25" spans="1:8" ht="12.75" customHeight="1" x14ac:dyDescent="0.15">
      <c r="A25" s="18"/>
      <c r="B25" s="17"/>
      <c r="C25" s="17"/>
      <c r="D25" s="13" t="s">
        <v>63</v>
      </c>
      <c r="E25" s="5">
        <v>1200000</v>
      </c>
      <c r="F25" s="3"/>
      <c r="G25" s="4">
        <f t="shared" si="0"/>
        <v>0</v>
      </c>
    </row>
    <row r="26" spans="1:8" ht="12.75" customHeight="1" x14ac:dyDescent="0.15">
      <c r="A26" s="17"/>
      <c r="B26" s="17"/>
      <c r="C26" s="17"/>
      <c r="D26" s="13" t="s">
        <v>62</v>
      </c>
      <c r="E26" s="5">
        <v>300000</v>
      </c>
      <c r="F26" s="3">
        <f>14100+11100+11600</f>
        <v>36800</v>
      </c>
      <c r="G26" s="4">
        <f t="shared" si="0"/>
        <v>0.12266666666666666</v>
      </c>
    </row>
    <row r="27" spans="1:8" ht="12.75" customHeight="1" x14ac:dyDescent="0.15">
      <c r="A27" s="17"/>
      <c r="B27" s="17"/>
      <c r="C27" s="17"/>
      <c r="D27" s="13" t="s">
        <v>61</v>
      </c>
      <c r="E27" s="5">
        <v>50000</v>
      </c>
      <c r="F27" s="3"/>
      <c r="G27" s="4">
        <f t="shared" si="0"/>
        <v>0</v>
      </c>
    </row>
    <row r="28" spans="1:8" ht="12.75" customHeight="1" x14ac:dyDescent="0.15">
      <c r="A28" s="17"/>
      <c r="B28" s="17"/>
      <c r="C28" s="15"/>
      <c r="D28" s="13" t="s">
        <v>17</v>
      </c>
      <c r="E28" s="5">
        <f>SUM(E23:E27)</f>
        <v>3550000</v>
      </c>
      <c r="F28" s="5">
        <f>SUM(F23:F27)</f>
        <v>36800</v>
      </c>
      <c r="G28" s="4">
        <f t="shared" si="0"/>
        <v>1.0366197183098591E-2</v>
      </c>
      <c r="H28" s="12">
        <f>F28-'[1]20210930'!F28</f>
        <v>-2958067</v>
      </c>
    </row>
    <row r="29" spans="1:8" ht="12.75" customHeight="1" x14ac:dyDescent="0.15">
      <c r="A29" s="17"/>
      <c r="B29" s="17"/>
      <c r="C29" s="19" t="s">
        <v>60</v>
      </c>
      <c r="D29" s="13" t="s">
        <v>59</v>
      </c>
      <c r="E29" s="22">
        <v>50000</v>
      </c>
      <c r="F29" s="3">
        <v>4800</v>
      </c>
      <c r="G29" s="4">
        <f t="shared" si="0"/>
        <v>9.6000000000000002E-2</v>
      </c>
    </row>
    <row r="30" spans="1:8" ht="12.75" customHeight="1" x14ac:dyDescent="0.15">
      <c r="A30" s="17"/>
      <c r="B30" s="17"/>
      <c r="C30" s="15"/>
      <c r="D30" s="13" t="s">
        <v>51</v>
      </c>
      <c r="E30" s="5">
        <f>SUM(E29)</f>
        <v>50000</v>
      </c>
      <c r="F30" s="5">
        <f>SUM(F29)</f>
        <v>4800</v>
      </c>
      <c r="G30" s="4">
        <f t="shared" si="0"/>
        <v>9.6000000000000002E-2</v>
      </c>
      <c r="H30" s="12">
        <f>F30-'[1]20210930'!F30</f>
        <v>4800</v>
      </c>
    </row>
    <row r="31" spans="1:8" ht="12.75" customHeight="1" x14ac:dyDescent="0.15">
      <c r="A31" s="17"/>
      <c r="B31" s="17"/>
      <c r="C31" s="19" t="s">
        <v>58</v>
      </c>
      <c r="D31" s="21" t="s">
        <v>57</v>
      </c>
      <c r="E31" s="5">
        <v>0</v>
      </c>
      <c r="F31" s="3"/>
      <c r="G31" s="4" t="e">
        <f t="shared" si="0"/>
        <v>#DIV/0!</v>
      </c>
    </row>
    <row r="32" spans="1:8" ht="12.75" customHeight="1" x14ac:dyDescent="0.15">
      <c r="A32" s="17"/>
      <c r="B32" s="17"/>
      <c r="C32" s="17"/>
      <c r="D32" s="13" t="s">
        <v>56</v>
      </c>
      <c r="E32" s="5">
        <v>50000</v>
      </c>
      <c r="F32" s="3"/>
      <c r="G32" s="4">
        <f t="shared" si="0"/>
        <v>0</v>
      </c>
    </row>
    <row r="33" spans="1:8" ht="12.75" customHeight="1" x14ac:dyDescent="0.15">
      <c r="A33" s="17"/>
      <c r="B33" s="17"/>
      <c r="C33" s="15"/>
      <c r="D33" s="13" t="s">
        <v>17</v>
      </c>
      <c r="E33" s="5">
        <f>SUM(E31:E32)</f>
        <v>50000</v>
      </c>
      <c r="F33" s="5">
        <f>SUM(F31:F32)</f>
        <v>0</v>
      </c>
      <c r="G33" s="4">
        <f t="shared" si="0"/>
        <v>0</v>
      </c>
      <c r="H33" s="12">
        <f>F33-'[1]20210930'!F33</f>
        <v>0</v>
      </c>
    </row>
    <row r="34" spans="1:8" ht="12.75" customHeight="1" x14ac:dyDescent="0.15">
      <c r="A34" s="17"/>
      <c r="B34" s="17"/>
      <c r="C34" s="19" t="s">
        <v>55</v>
      </c>
      <c r="D34" s="13" t="s">
        <v>54</v>
      </c>
      <c r="E34" s="5">
        <v>200000</v>
      </c>
      <c r="F34" s="3"/>
      <c r="G34" s="4">
        <f t="shared" si="0"/>
        <v>0</v>
      </c>
    </row>
    <row r="35" spans="1:8" ht="12.75" customHeight="1" x14ac:dyDescent="0.15">
      <c r="A35" s="17"/>
      <c r="B35" s="17"/>
      <c r="C35" s="17"/>
      <c r="D35" s="13" t="s">
        <v>53</v>
      </c>
      <c r="E35" s="5">
        <v>100000</v>
      </c>
      <c r="F35" s="3">
        <v>50000</v>
      </c>
      <c r="G35" s="4">
        <f t="shared" si="0"/>
        <v>0.5</v>
      </c>
    </row>
    <row r="36" spans="1:8" ht="12.75" customHeight="1" x14ac:dyDescent="0.15">
      <c r="A36" s="18"/>
      <c r="B36" s="17"/>
      <c r="C36" s="17"/>
      <c r="D36" s="13" t="s">
        <v>52</v>
      </c>
      <c r="E36" s="5">
        <v>1180000</v>
      </c>
      <c r="F36" s="3">
        <v>29000</v>
      </c>
      <c r="G36" s="4">
        <f t="shared" si="0"/>
        <v>2.4576271186440679E-2</v>
      </c>
    </row>
    <row r="37" spans="1:8" ht="12.75" customHeight="1" x14ac:dyDescent="0.15">
      <c r="A37" s="16"/>
      <c r="B37" s="15"/>
      <c r="C37" s="15"/>
      <c r="D37" s="13" t="s">
        <v>51</v>
      </c>
      <c r="E37" s="5">
        <f>SUM(E34:E36)</f>
        <v>1480000</v>
      </c>
      <c r="F37" s="5">
        <f>SUM(F34:F36)</f>
        <v>79000</v>
      </c>
      <c r="G37" s="4">
        <f t="shared" si="0"/>
        <v>5.3378378378378381E-2</v>
      </c>
      <c r="H37" s="12">
        <f>F37-'[1]20210930'!F37</f>
        <v>-69900</v>
      </c>
    </row>
    <row r="38" spans="1:8" ht="12.75" customHeight="1" x14ac:dyDescent="0.15">
      <c r="A38" s="20" t="s">
        <v>50</v>
      </c>
      <c r="B38" s="19" t="s">
        <v>49</v>
      </c>
      <c r="C38" s="11" t="s">
        <v>48</v>
      </c>
      <c r="D38" s="13" t="s">
        <v>47</v>
      </c>
      <c r="E38" s="5">
        <v>2500000</v>
      </c>
      <c r="F38" s="3">
        <f>150000+214000+118400+120000+152000+70000+200000+243000+123000+100000+163000</f>
        <v>1653400</v>
      </c>
      <c r="G38" s="4">
        <f t="shared" si="0"/>
        <v>0.66135999999999995</v>
      </c>
    </row>
    <row r="39" spans="1:8" ht="12.75" customHeight="1" x14ac:dyDescent="0.15">
      <c r="A39" s="18"/>
      <c r="B39" s="17"/>
      <c r="C39" s="11"/>
      <c r="D39" s="13" t="s">
        <v>30</v>
      </c>
      <c r="E39" s="5">
        <f>SUM(E38:E38)</f>
        <v>2500000</v>
      </c>
      <c r="F39" s="5">
        <f>SUM(F38)</f>
        <v>1653400</v>
      </c>
      <c r="G39" s="4">
        <f t="shared" si="0"/>
        <v>0.66135999999999995</v>
      </c>
      <c r="H39" s="12">
        <f>F39-'[1]20210930'!F39</f>
        <v>-768600</v>
      </c>
    </row>
    <row r="40" spans="1:8" ht="12.75" customHeight="1" x14ac:dyDescent="0.15">
      <c r="A40" s="18"/>
      <c r="B40" s="17"/>
      <c r="C40" s="11" t="s">
        <v>46</v>
      </c>
      <c r="D40" s="13" t="s">
        <v>45</v>
      </c>
      <c r="E40" s="5">
        <v>0</v>
      </c>
      <c r="F40" s="3"/>
      <c r="G40" s="4" t="e">
        <f t="shared" si="0"/>
        <v>#DIV/0!</v>
      </c>
    </row>
    <row r="41" spans="1:8" ht="12.75" customHeight="1" x14ac:dyDescent="0.15">
      <c r="A41" s="18"/>
      <c r="B41" s="17"/>
      <c r="C41" s="19"/>
      <c r="D41" s="13" t="s">
        <v>17</v>
      </c>
      <c r="E41" s="5">
        <f>SUM(E40)</f>
        <v>0</v>
      </c>
      <c r="F41" s="5">
        <f>SUM(F40)</f>
        <v>0</v>
      </c>
      <c r="G41" s="4" t="e">
        <f t="shared" si="0"/>
        <v>#DIV/0!</v>
      </c>
      <c r="H41" s="12">
        <f>F41-'[1]20210831'!F41</f>
        <v>0</v>
      </c>
    </row>
    <row r="42" spans="1:8" ht="12.75" customHeight="1" x14ac:dyDescent="0.15">
      <c r="A42" s="18"/>
      <c r="B42" s="17"/>
      <c r="C42" s="19" t="s">
        <v>44</v>
      </c>
      <c r="D42" s="13" t="s">
        <v>43</v>
      </c>
      <c r="E42" s="5">
        <v>0</v>
      </c>
      <c r="F42" s="3"/>
      <c r="G42" s="4" t="e">
        <f t="shared" si="0"/>
        <v>#DIV/0!</v>
      </c>
    </row>
    <row r="43" spans="1:8" ht="12.75" customHeight="1" x14ac:dyDescent="0.15">
      <c r="A43" s="18"/>
      <c r="B43" s="17"/>
      <c r="C43" s="17"/>
      <c r="D43" s="13" t="s">
        <v>42</v>
      </c>
      <c r="E43" s="5">
        <v>0</v>
      </c>
      <c r="F43" s="3"/>
      <c r="G43" s="4" t="e">
        <f t="shared" si="0"/>
        <v>#DIV/0!</v>
      </c>
    </row>
    <row r="44" spans="1:8" ht="12.75" customHeight="1" x14ac:dyDescent="0.15">
      <c r="A44" s="18"/>
      <c r="B44" s="17"/>
      <c r="C44" s="17"/>
      <c r="D44" s="13" t="s">
        <v>41</v>
      </c>
      <c r="E44" s="5">
        <v>0</v>
      </c>
      <c r="F44" s="3"/>
      <c r="G44" s="4" t="e">
        <f t="shared" si="0"/>
        <v>#DIV/0!</v>
      </c>
    </row>
    <row r="45" spans="1:8" ht="12.75" customHeight="1" x14ac:dyDescent="0.15">
      <c r="A45" s="18"/>
      <c r="B45" s="17"/>
      <c r="C45" s="17"/>
      <c r="D45" s="13" t="s">
        <v>40</v>
      </c>
      <c r="E45" s="5">
        <v>2000000</v>
      </c>
      <c r="F45" s="3">
        <v>1866540</v>
      </c>
      <c r="G45" s="4">
        <f t="shared" si="0"/>
        <v>0.93327000000000004</v>
      </c>
      <c r="H45" s="12">
        <f>F45-'[1]20210930'!F45</f>
        <v>689940</v>
      </c>
    </row>
    <row r="46" spans="1:8" ht="12.75" customHeight="1" x14ac:dyDescent="0.15">
      <c r="A46" s="18"/>
      <c r="B46" s="17"/>
      <c r="C46" s="17"/>
      <c r="D46" s="13" t="s">
        <v>39</v>
      </c>
      <c r="E46" s="5">
        <v>2000000</v>
      </c>
      <c r="F46" s="3"/>
      <c r="G46" s="4">
        <f t="shared" ref="G46:G65" si="1">F46/E46</f>
        <v>0</v>
      </c>
    </row>
    <row r="47" spans="1:8" ht="12.75" customHeight="1" x14ac:dyDescent="0.15">
      <c r="A47" s="18"/>
      <c r="B47" s="17"/>
      <c r="C47" s="11" t="s">
        <v>38</v>
      </c>
      <c r="D47" s="13" t="s">
        <v>109</v>
      </c>
      <c r="E47" s="5">
        <v>400000</v>
      </c>
      <c r="F47" s="3"/>
      <c r="G47" s="4">
        <f t="shared" si="1"/>
        <v>0</v>
      </c>
    </row>
    <row r="48" spans="1:8" ht="12.75" customHeight="1" x14ac:dyDescent="0.15">
      <c r="A48" s="18"/>
      <c r="B48" s="17"/>
      <c r="C48" s="17"/>
      <c r="D48" s="13" t="s">
        <v>30</v>
      </c>
      <c r="E48" s="5">
        <f>SUM(E42:E47)</f>
        <v>4400000</v>
      </c>
      <c r="F48" s="5">
        <f>SUM(F42:F47)</f>
        <v>1866540</v>
      </c>
      <c r="G48" s="4">
        <f t="shared" si="1"/>
        <v>0.42421363636363635</v>
      </c>
      <c r="H48" s="12">
        <f>F48-'[1]20210930'!F47</f>
        <v>689940</v>
      </c>
    </row>
    <row r="49" spans="1:8" ht="12.75" customHeight="1" x14ac:dyDescent="0.15">
      <c r="A49" s="18"/>
      <c r="B49" s="19" t="s">
        <v>37</v>
      </c>
      <c r="C49" s="19" t="s">
        <v>36</v>
      </c>
      <c r="D49" s="13" t="s">
        <v>35</v>
      </c>
      <c r="E49" s="5">
        <v>1000000</v>
      </c>
      <c r="F49" s="3">
        <f>60000+48000+50000+161000+19000+48000+13500+6300+41000</f>
        <v>446800</v>
      </c>
      <c r="G49" s="4">
        <f t="shared" si="1"/>
        <v>0.44679999999999997</v>
      </c>
      <c r="H49" s="12">
        <f>E49-F49</f>
        <v>553200</v>
      </c>
    </row>
    <row r="50" spans="1:8" ht="12.75" customHeight="1" x14ac:dyDescent="0.15">
      <c r="A50" s="18"/>
      <c r="B50" s="17"/>
      <c r="C50" s="17"/>
      <c r="D50" s="13" t="s">
        <v>34</v>
      </c>
      <c r="E50" s="5">
        <v>800000</v>
      </c>
      <c r="F50" s="3">
        <f>25000+74000+26700+24500+18000+23800+66000</f>
        <v>258000</v>
      </c>
      <c r="G50" s="4">
        <f t="shared" si="1"/>
        <v>0.32250000000000001</v>
      </c>
      <c r="H50" s="12">
        <f>E50-F50</f>
        <v>542000</v>
      </c>
    </row>
    <row r="51" spans="1:8" ht="12.75" customHeight="1" x14ac:dyDescent="0.15">
      <c r="A51" s="18"/>
      <c r="B51" s="17"/>
      <c r="C51" s="17"/>
      <c r="D51" s="13" t="s">
        <v>33</v>
      </c>
      <c r="E51" s="5">
        <v>2750000</v>
      </c>
      <c r="F51" s="3"/>
      <c r="G51" s="4">
        <f t="shared" si="1"/>
        <v>0</v>
      </c>
    </row>
    <row r="52" spans="1:8" ht="12.75" customHeight="1" x14ac:dyDescent="0.15">
      <c r="A52" s="18"/>
      <c r="B52" s="17"/>
      <c r="C52" s="15"/>
      <c r="D52" s="13" t="s">
        <v>17</v>
      </c>
      <c r="E52" s="5">
        <f>SUM(E49:E51)</f>
        <v>4550000</v>
      </c>
      <c r="F52" s="5">
        <f>SUM(F49:F51)</f>
        <v>704800</v>
      </c>
      <c r="G52" s="4">
        <f t="shared" si="1"/>
        <v>0.1549010989010989</v>
      </c>
      <c r="H52" s="12">
        <f t="shared" ref="H52:H62" si="2">E52-F52</f>
        <v>3845200</v>
      </c>
    </row>
    <row r="53" spans="1:8" ht="12.75" customHeight="1" x14ac:dyDescent="0.15">
      <c r="A53" s="18"/>
      <c r="B53" s="17"/>
      <c r="C53" s="19" t="s">
        <v>32</v>
      </c>
      <c r="D53" s="13" t="s">
        <v>31</v>
      </c>
      <c r="E53" s="5">
        <v>400000</v>
      </c>
      <c r="F53" s="3">
        <f>125000+200000</f>
        <v>325000</v>
      </c>
      <c r="G53" s="4">
        <f t="shared" si="1"/>
        <v>0.8125</v>
      </c>
      <c r="H53" s="12">
        <f t="shared" si="2"/>
        <v>75000</v>
      </c>
    </row>
    <row r="54" spans="1:8" ht="12.75" customHeight="1" x14ac:dyDescent="0.15">
      <c r="A54" s="18"/>
      <c r="B54" s="17"/>
      <c r="C54" s="15"/>
      <c r="D54" s="13" t="s">
        <v>30</v>
      </c>
      <c r="E54" s="5">
        <f>SUM(E53)</f>
        <v>400000</v>
      </c>
      <c r="F54" s="5">
        <f>SUM(F53)</f>
        <v>325000</v>
      </c>
      <c r="G54" s="4">
        <f t="shared" si="1"/>
        <v>0.8125</v>
      </c>
      <c r="H54" s="12">
        <f t="shared" si="2"/>
        <v>75000</v>
      </c>
    </row>
    <row r="55" spans="1:8" ht="12.75" customHeight="1" x14ac:dyDescent="0.15">
      <c r="A55" s="18"/>
      <c r="B55" s="17"/>
      <c r="C55" s="19" t="s">
        <v>29</v>
      </c>
      <c r="D55" s="13" t="s">
        <v>28</v>
      </c>
      <c r="E55" s="5">
        <v>2000000</v>
      </c>
      <c r="F55" s="3">
        <f>300000</f>
        <v>300000</v>
      </c>
      <c r="G55" s="4">
        <f t="shared" si="1"/>
        <v>0.15</v>
      </c>
      <c r="H55" s="12">
        <f t="shared" si="2"/>
        <v>1700000</v>
      </c>
    </row>
    <row r="56" spans="1:8" ht="12.75" customHeight="1" x14ac:dyDescent="0.15">
      <c r="A56" s="18"/>
      <c r="B56" s="17"/>
      <c r="C56" s="17"/>
      <c r="D56" s="13" t="s">
        <v>27</v>
      </c>
      <c r="E56" s="5">
        <v>2000000</v>
      </c>
      <c r="F56" s="3">
        <v>100000</v>
      </c>
      <c r="G56" s="4">
        <f t="shared" si="1"/>
        <v>0.05</v>
      </c>
      <c r="H56" s="12">
        <f t="shared" si="2"/>
        <v>1900000</v>
      </c>
    </row>
    <row r="57" spans="1:8" ht="12.75" customHeight="1" x14ac:dyDescent="0.15">
      <c r="A57" s="17"/>
      <c r="B57" s="17"/>
      <c r="C57" s="17"/>
      <c r="D57" s="13" t="s">
        <v>26</v>
      </c>
      <c r="E57" s="5">
        <v>300000</v>
      </c>
      <c r="F57" s="3">
        <f>190000</f>
        <v>190000</v>
      </c>
      <c r="G57" s="4">
        <f t="shared" si="1"/>
        <v>0.6333333333333333</v>
      </c>
      <c r="H57" s="12">
        <f t="shared" si="2"/>
        <v>110000</v>
      </c>
    </row>
    <row r="58" spans="1:8" ht="12.75" customHeight="1" x14ac:dyDescent="0.15">
      <c r="A58" s="17"/>
      <c r="B58" s="17"/>
      <c r="C58" s="17"/>
      <c r="D58" s="13" t="s">
        <v>25</v>
      </c>
      <c r="E58" s="5">
        <v>0</v>
      </c>
      <c r="F58" s="3">
        <v>0</v>
      </c>
      <c r="G58" s="4" t="e">
        <f t="shared" si="1"/>
        <v>#DIV/0!</v>
      </c>
      <c r="H58" s="12">
        <f t="shared" si="2"/>
        <v>0</v>
      </c>
    </row>
    <row r="59" spans="1:8" ht="12.75" customHeight="1" x14ac:dyDescent="0.15">
      <c r="A59" s="18"/>
      <c r="B59" s="17"/>
      <c r="C59" s="17"/>
      <c r="D59" s="14" t="s">
        <v>24</v>
      </c>
      <c r="E59" s="5">
        <v>1000000</v>
      </c>
      <c r="F59" s="3">
        <v>100000</v>
      </c>
      <c r="G59" s="4">
        <f t="shared" si="1"/>
        <v>0.1</v>
      </c>
      <c r="H59" s="12">
        <f t="shared" si="2"/>
        <v>900000</v>
      </c>
    </row>
    <row r="60" spans="1:8" ht="12.75" customHeight="1" x14ac:dyDescent="0.15">
      <c r="A60" s="16"/>
      <c r="B60" s="15"/>
      <c r="C60" s="15"/>
      <c r="D60" s="14" t="s">
        <v>23</v>
      </c>
      <c r="E60" s="5">
        <v>1000000</v>
      </c>
      <c r="F60" s="3">
        <v>54000</v>
      </c>
      <c r="G60" s="4">
        <f t="shared" si="1"/>
        <v>5.3999999999999999E-2</v>
      </c>
      <c r="H60" s="12">
        <f t="shared" si="2"/>
        <v>946000</v>
      </c>
    </row>
    <row r="61" spans="1:8" ht="12.75" customHeight="1" x14ac:dyDescent="0.15">
      <c r="A61" s="16"/>
      <c r="B61" s="15"/>
      <c r="C61" s="15"/>
      <c r="D61" s="14" t="s">
        <v>17</v>
      </c>
      <c r="E61" s="5">
        <f>SUM(E55:E60)</f>
        <v>6300000</v>
      </c>
      <c r="F61" s="5">
        <f>SUM(F55:F60)</f>
        <v>744000</v>
      </c>
      <c r="G61" s="4">
        <f t="shared" si="1"/>
        <v>0.1180952380952381</v>
      </c>
      <c r="H61" s="12">
        <f t="shared" si="2"/>
        <v>5556000</v>
      </c>
    </row>
    <row r="62" spans="1:8" ht="12.75" customHeight="1" x14ac:dyDescent="0.15">
      <c r="A62" s="45" t="s">
        <v>22</v>
      </c>
      <c r="B62" s="48" t="s">
        <v>21</v>
      </c>
      <c r="C62" s="49"/>
      <c r="D62" s="13" t="s">
        <v>20</v>
      </c>
      <c r="E62" s="5">
        <v>400000</v>
      </c>
      <c r="F62" s="5"/>
      <c r="G62" s="4">
        <f t="shared" si="1"/>
        <v>0</v>
      </c>
      <c r="H62" s="12">
        <f t="shared" si="2"/>
        <v>400000</v>
      </c>
    </row>
    <row r="63" spans="1:8" ht="12.75" customHeight="1" x14ac:dyDescent="0.15">
      <c r="A63" s="46"/>
      <c r="B63" s="48" t="s">
        <v>19</v>
      </c>
      <c r="C63" s="49"/>
      <c r="D63" s="13" t="s">
        <v>18</v>
      </c>
      <c r="E63" s="5">
        <v>800000</v>
      </c>
      <c r="F63" s="5"/>
      <c r="G63" s="4">
        <f t="shared" si="1"/>
        <v>0</v>
      </c>
    </row>
    <row r="64" spans="1:8" ht="12.75" customHeight="1" x14ac:dyDescent="0.15">
      <c r="A64" s="47"/>
      <c r="B64" s="50"/>
      <c r="C64" s="51"/>
      <c r="D64" s="13" t="s">
        <v>17</v>
      </c>
      <c r="E64" s="5">
        <f>SUM(E62:E63)</f>
        <v>1200000</v>
      </c>
      <c r="F64" s="5">
        <f>SUM(F62:F63)</f>
        <v>0</v>
      </c>
      <c r="G64" s="4">
        <f t="shared" si="1"/>
        <v>0</v>
      </c>
      <c r="H64" s="12">
        <f>F64-'[1]20210930'!F63</f>
        <v>-1500000</v>
      </c>
    </row>
    <row r="65" spans="1:7" ht="12.75" customHeight="1" x14ac:dyDescent="0.15">
      <c r="A65" s="11" t="s">
        <v>16</v>
      </c>
      <c r="B65" s="11" t="s">
        <v>16</v>
      </c>
      <c r="C65" s="11" t="s">
        <v>15</v>
      </c>
      <c r="D65" s="5" t="s">
        <v>14</v>
      </c>
      <c r="E65" s="5"/>
      <c r="F65" s="5">
        <v>0</v>
      </c>
      <c r="G65" s="4" t="e">
        <f t="shared" si="1"/>
        <v>#DIV/0!</v>
      </c>
    </row>
    <row r="66" spans="1:7" ht="12.75" customHeight="1" x14ac:dyDescent="0.15">
      <c r="A66" s="11" t="s">
        <v>13</v>
      </c>
      <c r="B66" s="11" t="s">
        <v>12</v>
      </c>
      <c r="C66" s="11" t="s">
        <v>11</v>
      </c>
      <c r="D66" s="5" t="s">
        <v>10</v>
      </c>
      <c r="E66" s="5">
        <v>0</v>
      </c>
      <c r="F66" s="5">
        <v>0</v>
      </c>
      <c r="G66" s="10"/>
    </row>
    <row r="67" spans="1:7" ht="12.75" customHeight="1" x14ac:dyDescent="0.15">
      <c r="A67" s="52" t="s">
        <v>9</v>
      </c>
      <c r="B67" s="52"/>
      <c r="C67" s="52"/>
      <c r="D67" s="5"/>
      <c r="E67" s="5">
        <f>E17+E22+E28++E30+E33+E37+E39+E41+E48+E52+E54+E61+E64+E65</f>
        <v>31880000</v>
      </c>
      <c r="F67" s="5">
        <f>F17+F22+F28+F30+F33+F37+F39+F41+F48+F52+F54+F61+F64+F65</f>
        <v>9600840</v>
      </c>
      <c r="G67" s="4">
        <f>F67/E67</f>
        <v>0.30115558343789212</v>
      </c>
    </row>
    <row r="68" spans="1:7" ht="12.75" customHeight="1" x14ac:dyDescent="0.15"/>
    <row r="69" spans="1:7" ht="12.75" customHeight="1" x14ac:dyDescent="0.15">
      <c r="A69" s="1" t="s">
        <v>103</v>
      </c>
    </row>
    <row r="70" spans="1:7" ht="12.75" customHeight="1" x14ac:dyDescent="0.15">
      <c r="A70" s="53" t="s">
        <v>8</v>
      </c>
      <c r="B70" s="42" t="s">
        <v>7</v>
      </c>
      <c r="C70" s="43"/>
      <c r="D70" s="42" t="s">
        <v>6</v>
      </c>
      <c r="E70" s="43"/>
      <c r="F70" s="44" t="s">
        <v>5</v>
      </c>
      <c r="G70" s="44"/>
    </row>
    <row r="71" spans="1:7" ht="12.75" customHeight="1" x14ac:dyDescent="0.15">
      <c r="A71" s="53"/>
      <c r="B71" s="8" t="s">
        <v>4</v>
      </c>
      <c r="C71" s="8" t="s">
        <v>3</v>
      </c>
      <c r="D71" s="8" t="s">
        <v>2</v>
      </c>
      <c r="E71" s="8" t="s">
        <v>1</v>
      </c>
      <c r="F71" s="8" t="s">
        <v>0</v>
      </c>
      <c r="G71" s="7"/>
    </row>
    <row r="72" spans="1:7" ht="12.75" customHeight="1" x14ac:dyDescent="0.15">
      <c r="A72" s="6">
        <f>E9</f>
        <v>31880000</v>
      </c>
      <c r="B72" s="5">
        <f>+F9</f>
        <v>16022656</v>
      </c>
      <c r="C72" s="4">
        <f>+G9</f>
        <v>0.50259272271016309</v>
      </c>
      <c r="D72" s="3">
        <f>+F67</f>
        <v>9600840</v>
      </c>
      <c r="E72" s="4">
        <f>+G67</f>
        <v>0.30115558343789212</v>
      </c>
      <c r="F72" s="3">
        <f>B72-D72</f>
        <v>6421816</v>
      </c>
      <c r="G72" s="2"/>
    </row>
  </sheetData>
  <mergeCells count="14">
    <mergeCell ref="A70:A71"/>
    <mergeCell ref="B70:C70"/>
    <mergeCell ref="D70:E70"/>
    <mergeCell ref="F70:G70"/>
    <mergeCell ref="A1:G1"/>
    <mergeCell ref="A5:A8"/>
    <mergeCell ref="B6:B7"/>
    <mergeCell ref="C6:C7"/>
    <mergeCell ref="A9:C9"/>
    <mergeCell ref="A62:A64"/>
    <mergeCell ref="B62:C62"/>
    <mergeCell ref="B63:C63"/>
    <mergeCell ref="B64:C64"/>
    <mergeCell ref="A67:C67"/>
  </mergeCells>
  <phoneticPr fontId="3" type="noConversion"/>
  <printOptions horizontalCentered="1"/>
  <pageMargins left="0.39370078740157483" right="0.35433070866141736" top="0.6692913385826772" bottom="0.19685039370078741" header="0.19685039370078741" footer="0.1574803149606299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20240531</vt:lpstr>
      <vt:lpstr>20240430</vt:lpstr>
      <vt:lpstr>20240331</vt:lpstr>
      <vt:lpstr>20240229</vt:lpstr>
      <vt:lpstr>20240131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Seoul-Master</dc:creator>
  <cp:lastModifiedBy>Seoul-Master</cp:lastModifiedBy>
  <dcterms:created xsi:type="dcterms:W3CDTF">2024-02-05T06:37:01Z</dcterms:created>
  <dcterms:modified xsi:type="dcterms:W3CDTF">2024-06-10T05:22:57Z</dcterms:modified>
</cp:coreProperties>
</file>